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0" windowWidth="19440" windowHeight="7155" firstSheet="7" activeTab="7"/>
  </bookViews>
  <sheets>
    <sheet name="TERRAPLENAGEM" sheetId="4" state="hidden" r:id="rId1"/>
    <sheet name="drenagem pluvial" sheetId="5" state="hidden" r:id="rId2"/>
    <sheet name="REDE ESGOTO" sheetId="6" state="hidden" r:id="rId3"/>
    <sheet name="AGUA POTAVEL" sheetId="7" state="hidden" r:id="rId4"/>
    <sheet name="Pavimentação " sheetId="11" state="hidden" r:id="rId5"/>
    <sheet name="Tapa Buraco" sheetId="13" state="hidden" r:id="rId6"/>
    <sheet name="Planilha Final" sheetId="10" state="hidden" r:id="rId7"/>
    <sheet name="Planilha Asfalto" sheetId="16" r:id="rId8"/>
    <sheet name="BDI" sheetId="14" state="hidden" r:id="rId9"/>
    <sheet name="PROPOSTA PADRÃO" sheetId="9" state="hidden" r:id="rId10"/>
  </sheets>
  <definedNames>
    <definedName name="_xlnm.Print_Area" localSheetId="3">'AGUA POTAVEL'!$A$1:$G$81</definedName>
    <definedName name="_xlnm.Print_Area" localSheetId="8">BDI!$A$1:$C$30</definedName>
    <definedName name="_xlnm.Print_Area" localSheetId="1">'drenagem pluvial'!$A$1:$G$82</definedName>
    <definedName name="_xlnm.Print_Area" localSheetId="4">'Pavimentação '!$A$1:$G$74</definedName>
    <definedName name="_xlnm.Print_Area" localSheetId="6">'Planilha Final'!$A$1:$H$34</definedName>
    <definedName name="_xlnm.Print_Area" localSheetId="2">'REDE ESGOTO'!$A$1:$G$81</definedName>
    <definedName name="_xlnm.Print_Area" localSheetId="5">'Tapa Buraco'!$A$1:$G$54</definedName>
    <definedName name="_xlnm.Print_Area" localSheetId="0">TERRAPLENAGEM!$A$1:$G$81</definedName>
  </definedNames>
  <calcPr calcId="125725"/>
</workbook>
</file>

<file path=xl/calcChain.xml><?xml version="1.0" encoding="utf-8"?>
<calcChain xmlns="http://schemas.openxmlformats.org/spreadsheetml/2006/main">
  <c r="H11" i="16"/>
  <c r="F11"/>
  <c r="I11" s="1"/>
  <c r="F18"/>
  <c r="I18" s="1"/>
  <c r="F17"/>
  <c r="I17" s="1"/>
  <c r="F13"/>
  <c r="F12"/>
  <c r="F7"/>
  <c r="F8" s="1"/>
  <c r="F9" s="1"/>
  <c r="F19" l="1"/>
  <c r="F14"/>
  <c r="F15" s="1"/>
  <c r="F16"/>
  <c r="J11"/>
  <c r="I12"/>
  <c r="I8"/>
  <c r="I7"/>
  <c r="J7"/>
  <c r="H14"/>
  <c r="H15"/>
  <c r="H16"/>
  <c r="H17"/>
  <c r="J17" s="1"/>
  <c r="H18"/>
  <c r="J18" s="1"/>
  <c r="H19"/>
  <c r="H13"/>
  <c r="H12"/>
  <c r="J12" s="1"/>
  <c r="H9"/>
  <c r="H8"/>
  <c r="J8" s="1"/>
  <c r="H7"/>
  <c r="J19" l="1"/>
  <c r="I19"/>
  <c r="J13"/>
  <c r="I13"/>
  <c r="J16"/>
  <c r="I16"/>
  <c r="J14"/>
  <c r="I14"/>
  <c r="J10" l="1"/>
  <c r="I10"/>
  <c r="J15"/>
  <c r="I15"/>
  <c r="J9"/>
  <c r="J6" s="1"/>
  <c r="I9"/>
  <c r="I6" s="1"/>
  <c r="J21" l="1"/>
  <c r="I21"/>
  <c r="C26" i="14"/>
  <c r="C28"/>
  <c r="C16"/>
  <c r="C13"/>
  <c r="C10"/>
  <c r="B42" i="13" l="1"/>
  <c r="C60" i="11" l="1"/>
  <c r="B33" s="1"/>
  <c r="B60" l="1"/>
  <c r="D60" s="1"/>
  <c r="A1" i="9"/>
  <c r="B39" i="13"/>
  <c r="B40"/>
  <c r="B41"/>
  <c r="B43"/>
  <c r="B38"/>
  <c r="B34" i="11" l="1"/>
  <c r="D17" l="1"/>
  <c r="D24"/>
  <c r="D25"/>
  <c r="D21"/>
  <c r="D19"/>
  <c r="D18"/>
  <c r="D15" i="13"/>
  <c r="D14"/>
  <c r="D12"/>
  <c r="D7"/>
  <c r="D4"/>
  <c r="E23"/>
  <c r="D51"/>
  <c r="H51" s="1"/>
  <c r="C51" s="1"/>
  <c r="C49"/>
  <c r="B22" s="1"/>
  <c r="B21"/>
  <c r="E21" s="1"/>
  <c r="B13"/>
  <c r="D5"/>
  <c r="D6"/>
  <c r="D49"/>
  <c r="B44"/>
  <c r="G3" s="1"/>
  <c r="E28"/>
  <c r="E26"/>
  <c r="E25"/>
  <c r="E24"/>
  <c r="D17"/>
  <c r="D16"/>
  <c r="D13"/>
  <c r="D11"/>
  <c r="B11"/>
  <c r="D8" i="11"/>
  <c r="D4"/>
  <c r="D12"/>
  <c r="D11"/>
  <c r="D10"/>
  <c r="D9"/>
  <c r="D7"/>
  <c r="D6"/>
  <c r="D5"/>
  <c r="D20"/>
  <c r="D28"/>
  <c r="D27"/>
  <c r="D26"/>
  <c r="D23"/>
  <c r="D22"/>
  <c r="D16"/>
  <c r="E52" i="13" l="1"/>
  <c r="G52" s="1"/>
  <c r="C33" s="1"/>
  <c r="E33" s="1"/>
  <c r="F33" s="1"/>
  <c r="F25"/>
  <c r="F23"/>
  <c r="F28"/>
  <c r="B27"/>
  <c r="E27" s="1"/>
  <c r="F27" s="1"/>
  <c r="F21"/>
  <c r="F24"/>
  <c r="F26"/>
  <c r="E22"/>
  <c r="F22" s="1"/>
  <c r="F54" l="1"/>
  <c r="H52"/>
  <c r="F29"/>
  <c r="F53"/>
  <c r="C4" l="1"/>
  <c r="C11" s="1"/>
  <c r="C52"/>
  <c r="C5"/>
  <c r="C14" s="1"/>
  <c r="E5" l="1"/>
  <c r="F5" s="1"/>
  <c r="C6"/>
  <c r="C7" s="1"/>
  <c r="E4"/>
  <c r="F4" s="1"/>
  <c r="E11"/>
  <c r="F11" s="1"/>
  <c r="C12"/>
  <c r="E12" s="1"/>
  <c r="F12" s="1"/>
  <c r="C15"/>
  <c r="E14"/>
  <c r="F14" s="1"/>
  <c r="E6"/>
  <c r="F6" s="1"/>
  <c r="C16" l="1"/>
  <c r="E15"/>
  <c r="F15" s="1"/>
  <c r="C13"/>
  <c r="E7"/>
  <c r="F7" s="1"/>
  <c r="F8" s="1"/>
  <c r="C34" l="1"/>
  <c r="E34" s="1"/>
  <c r="F34" s="1"/>
  <c r="F35" s="1"/>
  <c r="C17"/>
  <c r="E17" s="1"/>
  <c r="F17" s="1"/>
  <c r="E16"/>
  <c r="F16" s="1"/>
  <c r="E13"/>
  <c r="F13" s="1"/>
  <c r="F18" l="1"/>
  <c r="E45" s="1"/>
  <c r="F50" l="1"/>
  <c r="F51" s="1"/>
  <c r="C41"/>
  <c r="C38"/>
  <c r="C40"/>
  <c r="C43"/>
  <c r="C42"/>
  <c r="C39"/>
  <c r="E73" i="11" l="1"/>
  <c r="B20" l="1"/>
  <c r="D62"/>
  <c r="B55"/>
  <c r="G3" s="1"/>
  <c r="E39"/>
  <c r="E36"/>
  <c r="E35"/>
  <c r="E33"/>
  <c r="B19"/>
  <c r="B18"/>
  <c r="B17"/>
  <c r="B16"/>
  <c r="H62" l="1"/>
  <c r="C62" s="1"/>
  <c r="E63"/>
  <c r="G63" s="1"/>
  <c r="B38"/>
  <c r="E38" s="1"/>
  <c r="F38" s="1"/>
  <c r="E34"/>
  <c r="F34" s="1"/>
  <c r="E37"/>
  <c r="F37" s="1"/>
  <c r="F35"/>
  <c r="F36"/>
  <c r="F33"/>
  <c r="E12"/>
  <c r="F12" s="1"/>
  <c r="F70" s="1"/>
  <c r="F71" s="1"/>
  <c r="E32"/>
  <c r="F39"/>
  <c r="H30" i="10"/>
  <c r="H29"/>
  <c r="H26"/>
  <c r="H25"/>
  <c r="H24"/>
  <c r="H23"/>
  <c r="H22"/>
  <c r="H21"/>
  <c r="H20"/>
  <c r="H19"/>
  <c r="H18"/>
  <c r="H17"/>
  <c r="H15"/>
  <c r="H14"/>
  <c r="H13"/>
  <c r="H12"/>
  <c r="H11"/>
  <c r="H8"/>
  <c r="H7"/>
  <c r="F32" i="11" l="1"/>
  <c r="F64" s="1"/>
  <c r="H21" i="13"/>
  <c r="H63" i="11"/>
  <c r="C44"/>
  <c r="E44" s="1"/>
  <c r="F44" s="1"/>
  <c r="F40"/>
  <c r="H9" i="10"/>
  <c r="H31"/>
  <c r="F65" i="11" l="1"/>
  <c r="C4"/>
  <c r="C63"/>
  <c r="H27" i="10"/>
  <c r="H32" l="1"/>
  <c r="C16" i="11"/>
  <c r="E16" s="1"/>
  <c r="F16" s="1"/>
  <c r="E4"/>
  <c r="F4" s="1"/>
  <c r="C5"/>
  <c r="C6" l="1"/>
  <c r="E5"/>
  <c r="F5" s="1"/>
  <c r="C17"/>
  <c r="E17" s="1"/>
  <c r="F17" s="1"/>
  <c r="C24"/>
  <c r="C25" l="1"/>
  <c r="E24"/>
  <c r="F24" s="1"/>
  <c r="C7"/>
  <c r="C18"/>
  <c r="E18" s="1"/>
  <c r="F18" s="1"/>
  <c r="E6"/>
  <c r="F6" s="1"/>
  <c r="E39" i="9"/>
  <c r="E38"/>
  <c r="E37"/>
  <c r="E36"/>
  <c r="E35"/>
  <c r="E34"/>
  <c r="E33"/>
  <c r="E32"/>
  <c r="E31"/>
  <c r="E30"/>
  <c r="E28"/>
  <c r="E27"/>
  <c r="E26"/>
  <c r="E25"/>
  <c r="E24"/>
  <c r="E23"/>
  <c r="E22"/>
  <c r="E21"/>
  <c r="E20"/>
  <c r="E18"/>
  <c r="E17"/>
  <c r="E16"/>
  <c r="E15"/>
  <c r="E14"/>
  <c r="E13"/>
  <c r="E12"/>
  <c r="E11"/>
  <c r="E10"/>
  <c r="E9"/>
  <c r="E8"/>
  <c r="E7"/>
  <c r="E6"/>
  <c r="E5"/>
  <c r="E4"/>
  <c r="C26" i="11" l="1"/>
  <c r="E25"/>
  <c r="F25" s="1"/>
  <c r="C19"/>
  <c r="E19" s="1"/>
  <c r="F19" s="1"/>
  <c r="E7"/>
  <c r="F7" s="1"/>
  <c r="C8"/>
  <c r="E19" i="9"/>
  <c r="E29"/>
  <c r="E3"/>
  <c r="C9" i="11" l="1"/>
  <c r="E8"/>
  <c r="F8" s="1"/>
  <c r="C20"/>
  <c r="E20" s="1"/>
  <c r="F20" s="1"/>
  <c r="C27"/>
  <c r="E26"/>
  <c r="F26" s="1"/>
  <c r="B41" i="5"/>
  <c r="B42" s="1"/>
  <c r="C28" i="11" l="1"/>
  <c r="E28" s="1"/>
  <c r="F28" s="1"/>
  <c r="E27"/>
  <c r="F27" s="1"/>
  <c r="C10"/>
  <c r="E9"/>
  <c r="F9" s="1"/>
  <c r="C21"/>
  <c r="E21" s="1"/>
  <c r="F21" s="1"/>
  <c r="D41" i="9"/>
  <c r="E41" s="1"/>
  <c r="E49" s="1"/>
  <c r="F73" i="11" l="1"/>
  <c r="F74" s="1"/>
  <c r="E10"/>
  <c r="F10" s="1"/>
  <c r="C22"/>
  <c r="E22" s="1"/>
  <c r="F22" s="1"/>
  <c r="C11"/>
  <c r="E55" i="9"/>
  <c r="E50"/>
  <c r="E51" s="1"/>
  <c r="B80" i="7"/>
  <c r="G3" s="1"/>
  <c r="E71"/>
  <c r="E70"/>
  <c r="E65"/>
  <c r="E64"/>
  <c r="E63"/>
  <c r="F63" s="1"/>
  <c r="E62"/>
  <c r="E61"/>
  <c r="E60"/>
  <c r="E59"/>
  <c r="F59" s="1"/>
  <c r="E58"/>
  <c r="E57"/>
  <c r="E56"/>
  <c r="E55"/>
  <c r="F55" s="1"/>
  <c r="E54"/>
  <c r="E53"/>
  <c r="E52"/>
  <c r="D48"/>
  <c r="E48" s="1"/>
  <c r="F48" s="1"/>
  <c r="D47"/>
  <c r="E47" s="1"/>
  <c r="D46"/>
  <c r="E46" s="1"/>
  <c r="E45"/>
  <c r="E44"/>
  <c r="F44" s="1"/>
  <c r="E43"/>
  <c r="D42"/>
  <c r="D41"/>
  <c r="C41"/>
  <c r="C42" s="1"/>
  <c r="B41"/>
  <c r="B42" s="1"/>
  <c r="D40"/>
  <c r="D39"/>
  <c r="C39"/>
  <c r="C40" s="1"/>
  <c r="B39"/>
  <c r="D38"/>
  <c r="E38" s="1"/>
  <c r="D37"/>
  <c r="E37" s="1"/>
  <c r="F37" s="1"/>
  <c r="D36"/>
  <c r="E36" s="1"/>
  <c r="F36" s="1"/>
  <c r="D35"/>
  <c r="E35" s="1"/>
  <c r="D34"/>
  <c r="E34" s="1"/>
  <c r="F34" s="1"/>
  <c r="D33"/>
  <c r="C33"/>
  <c r="B33"/>
  <c r="D32"/>
  <c r="C32"/>
  <c r="B32"/>
  <c r="D31"/>
  <c r="C31"/>
  <c r="B31"/>
  <c r="D30"/>
  <c r="C30"/>
  <c r="B30"/>
  <c r="D29"/>
  <c r="C29"/>
  <c r="B29"/>
  <c r="D28"/>
  <c r="B28"/>
  <c r="D27"/>
  <c r="C27"/>
  <c r="B27"/>
  <c r="D26"/>
  <c r="C26"/>
  <c r="B26"/>
  <c r="D25"/>
  <c r="C25"/>
  <c r="B25"/>
  <c r="D24"/>
  <c r="C24"/>
  <c r="B24"/>
  <c r="D23"/>
  <c r="C23"/>
  <c r="B23"/>
  <c r="D22"/>
  <c r="C22"/>
  <c r="B22"/>
  <c r="E18"/>
  <c r="E17"/>
  <c r="E16"/>
  <c r="E15"/>
  <c r="F15" s="1"/>
  <c r="E14"/>
  <c r="E13"/>
  <c r="E12"/>
  <c r="E11"/>
  <c r="F11" s="1"/>
  <c r="E10"/>
  <c r="E9"/>
  <c r="E8"/>
  <c r="E7"/>
  <c r="F7" s="1"/>
  <c r="E6"/>
  <c r="E5"/>
  <c r="E4"/>
  <c r="B80" i="6"/>
  <c r="G3" s="1"/>
  <c r="F63" s="1"/>
  <c r="E71"/>
  <c r="E70"/>
  <c r="E65"/>
  <c r="E64"/>
  <c r="E63"/>
  <c r="E62"/>
  <c r="E61"/>
  <c r="E60"/>
  <c r="E59"/>
  <c r="E58"/>
  <c r="E57"/>
  <c r="E56"/>
  <c r="E55"/>
  <c r="E54"/>
  <c r="E53"/>
  <c r="E52"/>
  <c r="D48"/>
  <c r="E48" s="1"/>
  <c r="D47"/>
  <c r="E47" s="1"/>
  <c r="D46"/>
  <c r="E46" s="1"/>
  <c r="E45"/>
  <c r="E44"/>
  <c r="E43"/>
  <c r="D42"/>
  <c r="D41"/>
  <c r="C41"/>
  <c r="C42" s="1"/>
  <c r="B41"/>
  <c r="B42" s="1"/>
  <c r="D40"/>
  <c r="D39"/>
  <c r="C39"/>
  <c r="C40" s="1"/>
  <c r="B39"/>
  <c r="D38"/>
  <c r="E38" s="1"/>
  <c r="D37"/>
  <c r="E37" s="1"/>
  <c r="D36"/>
  <c r="E36" s="1"/>
  <c r="D35"/>
  <c r="E35" s="1"/>
  <c r="D34"/>
  <c r="E34" s="1"/>
  <c r="D33"/>
  <c r="C33"/>
  <c r="B33"/>
  <c r="D32"/>
  <c r="C32"/>
  <c r="B32"/>
  <c r="D31"/>
  <c r="C31"/>
  <c r="B31"/>
  <c r="D30"/>
  <c r="C30"/>
  <c r="B30"/>
  <c r="D29"/>
  <c r="C29"/>
  <c r="B29"/>
  <c r="D28"/>
  <c r="B28"/>
  <c r="D27"/>
  <c r="C27"/>
  <c r="B27"/>
  <c r="D26"/>
  <c r="C26"/>
  <c r="B26"/>
  <c r="D25"/>
  <c r="C25"/>
  <c r="B25"/>
  <c r="D24"/>
  <c r="C24"/>
  <c r="B24"/>
  <c r="D23"/>
  <c r="C23"/>
  <c r="B23"/>
  <c r="D22"/>
  <c r="C22"/>
  <c r="B22"/>
  <c r="E18"/>
  <c r="E17"/>
  <c r="E16"/>
  <c r="E15"/>
  <c r="E14"/>
  <c r="E13"/>
  <c r="E12"/>
  <c r="E11"/>
  <c r="E10"/>
  <c r="E9"/>
  <c r="E8"/>
  <c r="E7"/>
  <c r="E6"/>
  <c r="E5"/>
  <c r="E4"/>
  <c r="B81" i="5"/>
  <c r="G3" s="1"/>
  <c r="E72"/>
  <c r="F72" s="1"/>
  <c r="E71"/>
  <c r="F71" s="1"/>
  <c r="E66"/>
  <c r="E65"/>
  <c r="E64"/>
  <c r="F64" s="1"/>
  <c r="E63"/>
  <c r="E62"/>
  <c r="F62" s="1"/>
  <c r="E61"/>
  <c r="E60"/>
  <c r="F60" s="1"/>
  <c r="E59"/>
  <c r="E58"/>
  <c r="F58" s="1"/>
  <c r="E57"/>
  <c r="E56"/>
  <c r="F56" s="1"/>
  <c r="E54"/>
  <c r="E53"/>
  <c r="F53" s="1"/>
  <c r="E52"/>
  <c r="D48"/>
  <c r="E48" s="1"/>
  <c r="F48" s="1"/>
  <c r="D47"/>
  <c r="E47" s="1"/>
  <c r="F47" s="1"/>
  <c r="D46"/>
  <c r="E46" s="1"/>
  <c r="F46" s="1"/>
  <c r="E45"/>
  <c r="E44"/>
  <c r="F44" s="1"/>
  <c r="E43"/>
  <c r="D42"/>
  <c r="D41"/>
  <c r="C41"/>
  <c r="C42" s="1"/>
  <c r="D40"/>
  <c r="D39"/>
  <c r="C39"/>
  <c r="C40" s="1"/>
  <c r="B39"/>
  <c r="D38"/>
  <c r="E38" s="1"/>
  <c r="F38" s="1"/>
  <c r="D37"/>
  <c r="E37" s="1"/>
  <c r="F37" s="1"/>
  <c r="D36"/>
  <c r="E36" s="1"/>
  <c r="F36" s="1"/>
  <c r="D35"/>
  <c r="E35" s="1"/>
  <c r="F35" s="1"/>
  <c r="D34"/>
  <c r="E34" s="1"/>
  <c r="F34" s="1"/>
  <c r="D33"/>
  <c r="C33"/>
  <c r="B33"/>
  <c r="D32"/>
  <c r="C32"/>
  <c r="B32"/>
  <c r="D31"/>
  <c r="C31"/>
  <c r="B31"/>
  <c r="D30"/>
  <c r="C30"/>
  <c r="B30"/>
  <c r="D29"/>
  <c r="C29"/>
  <c r="B29"/>
  <c r="D28"/>
  <c r="B28"/>
  <c r="D27"/>
  <c r="C27"/>
  <c r="B27"/>
  <c r="D26"/>
  <c r="C26"/>
  <c r="B26"/>
  <c r="D25"/>
  <c r="C25"/>
  <c r="B25"/>
  <c r="D24"/>
  <c r="C24"/>
  <c r="B24"/>
  <c r="D23"/>
  <c r="C23"/>
  <c r="B23"/>
  <c r="D22"/>
  <c r="C22"/>
  <c r="B22"/>
  <c r="E18"/>
  <c r="E17"/>
  <c r="F17" s="1"/>
  <c r="E16"/>
  <c r="E15"/>
  <c r="F15" s="1"/>
  <c r="E14"/>
  <c r="E13"/>
  <c r="F13" s="1"/>
  <c r="E12"/>
  <c r="E11"/>
  <c r="F11" s="1"/>
  <c r="E10"/>
  <c r="E9"/>
  <c r="F9" s="1"/>
  <c r="E8"/>
  <c r="E7"/>
  <c r="F7" s="1"/>
  <c r="E6"/>
  <c r="E5"/>
  <c r="F5" s="1"/>
  <c r="E4"/>
  <c r="E42" i="6" l="1"/>
  <c r="F71" i="7"/>
  <c r="E26" i="6"/>
  <c r="E29"/>
  <c r="E41"/>
  <c r="E25" i="7"/>
  <c r="F25" s="1"/>
  <c r="E27"/>
  <c r="F27" s="1"/>
  <c r="E30"/>
  <c r="F30" s="1"/>
  <c r="E25" i="6"/>
  <c r="E39"/>
  <c r="E11" i="11"/>
  <c r="F11" s="1"/>
  <c r="F13" s="1"/>
  <c r="C23"/>
  <c r="F4" i="6"/>
  <c r="F12"/>
  <c r="F45"/>
  <c r="F36"/>
  <c r="F46"/>
  <c r="E25" i="5"/>
  <c r="F25" s="1"/>
  <c r="E41"/>
  <c r="F41" s="1"/>
  <c r="F6" i="6"/>
  <c r="F10"/>
  <c r="F14"/>
  <c r="F18"/>
  <c r="E31"/>
  <c r="E32"/>
  <c r="E29" i="7"/>
  <c r="F29" s="1"/>
  <c r="F35"/>
  <c r="F38"/>
  <c r="F46"/>
  <c r="F53"/>
  <c r="F57"/>
  <c r="F61"/>
  <c r="F65"/>
  <c r="F42" i="6"/>
  <c r="F52"/>
  <c r="F60"/>
  <c r="E28" i="5"/>
  <c r="F28" s="1"/>
  <c r="F66"/>
  <c r="E22" i="6"/>
  <c r="E23"/>
  <c r="F23" s="1"/>
  <c r="E30"/>
  <c r="F30" s="1"/>
  <c r="F34"/>
  <c r="F54"/>
  <c r="F58"/>
  <c r="F62"/>
  <c r="F5" i="7"/>
  <c r="F9"/>
  <c r="F13"/>
  <c r="F17"/>
  <c r="F47"/>
  <c r="F70"/>
  <c r="F72" s="1"/>
  <c r="E53" i="9"/>
  <c r="F16" i="6"/>
  <c r="F25"/>
  <c r="F38"/>
  <c r="F48"/>
  <c r="F64"/>
  <c r="E26" i="5"/>
  <c r="F26" s="1"/>
  <c r="F26" i="6"/>
  <c r="E27"/>
  <c r="F27" s="1"/>
  <c r="F29"/>
  <c r="F39"/>
  <c r="F31"/>
  <c r="F43"/>
  <c r="E23" i="5"/>
  <c r="F23" s="1"/>
  <c r="E30"/>
  <c r="F30" s="1"/>
  <c r="E24" i="6"/>
  <c r="F24" s="1"/>
  <c r="E33"/>
  <c r="F33" s="1"/>
  <c r="F37"/>
  <c r="F47"/>
  <c r="F70"/>
  <c r="E22" i="7"/>
  <c r="F22" s="1"/>
  <c r="E24"/>
  <c r="F24" s="1"/>
  <c r="E31"/>
  <c r="F31" s="1"/>
  <c r="E33"/>
  <c r="F33" s="1"/>
  <c r="E40"/>
  <c r="F40" s="1"/>
  <c r="E41"/>
  <c r="F41" s="1"/>
  <c r="F8" i="6"/>
  <c r="F22"/>
  <c r="F32"/>
  <c r="F41"/>
  <c r="F56"/>
  <c r="E29" i="5"/>
  <c r="F29" s="1"/>
  <c r="E28" i="6"/>
  <c r="F28" s="1"/>
  <c r="F35"/>
  <c r="F71"/>
  <c r="E23" i="7"/>
  <c r="F23" s="1"/>
  <c r="E26"/>
  <c r="F26" s="1"/>
  <c r="E28"/>
  <c r="F28" s="1"/>
  <c r="E32"/>
  <c r="F32" s="1"/>
  <c r="E39"/>
  <c r="F39" s="1"/>
  <c r="E27" i="5"/>
  <c r="F27" s="1"/>
  <c r="E24"/>
  <c r="F24" s="1"/>
  <c r="E31"/>
  <c r="F31" s="1"/>
  <c r="E32"/>
  <c r="F32" s="1"/>
  <c r="E39"/>
  <c r="F39" s="1"/>
  <c r="B40"/>
  <c r="E40" s="1"/>
  <c r="F40" s="1"/>
  <c r="E33"/>
  <c r="F33" s="1"/>
  <c r="E22"/>
  <c r="F22" s="1"/>
  <c r="E42" i="7"/>
  <c r="F42" s="1"/>
  <c r="F64"/>
  <c r="F58"/>
  <c r="F54"/>
  <c r="F43"/>
  <c r="F18"/>
  <c r="F14"/>
  <c r="F10"/>
  <c r="F4"/>
  <c r="F60"/>
  <c r="F16"/>
  <c r="F8"/>
  <c r="F62"/>
  <c r="F56"/>
  <c r="F52"/>
  <c r="F45"/>
  <c r="F12"/>
  <c r="F6"/>
  <c r="E40" i="6"/>
  <c r="F40" s="1"/>
  <c r="F7"/>
  <c r="F11"/>
  <c r="F13"/>
  <c r="F17"/>
  <c r="F44"/>
  <c r="F53"/>
  <c r="F65"/>
  <c r="F5"/>
  <c r="F9"/>
  <c r="F15"/>
  <c r="F55"/>
  <c r="F57"/>
  <c r="F59"/>
  <c r="F61"/>
  <c r="F73" i="5"/>
  <c r="E42"/>
  <c r="F42" s="1"/>
  <c r="F65"/>
  <c r="F61"/>
  <c r="F57"/>
  <c r="F52"/>
  <c r="F45"/>
  <c r="F18"/>
  <c r="F14"/>
  <c r="F10"/>
  <c r="F6"/>
  <c r="F63"/>
  <c r="F59"/>
  <c r="F54"/>
  <c r="F43"/>
  <c r="F16"/>
  <c r="F12"/>
  <c r="F8"/>
  <c r="F4"/>
  <c r="E17" i="4"/>
  <c r="F72" i="6" l="1"/>
  <c r="C45" i="11"/>
  <c r="E45" s="1"/>
  <c r="F45" s="1"/>
  <c r="F46" s="1"/>
  <c r="E23"/>
  <c r="F23" s="1"/>
  <c r="F29" s="1"/>
  <c r="F49" i="6"/>
  <c r="F49" i="5"/>
  <c r="F19" i="6"/>
  <c r="F49" i="7"/>
  <c r="F66" i="6"/>
  <c r="F19" i="7"/>
  <c r="F66"/>
  <c r="F19" i="5"/>
  <c r="F67"/>
  <c r="E60" i="4"/>
  <c r="E59"/>
  <c r="C52" i="11" l="1"/>
  <c r="C54"/>
  <c r="C50"/>
  <c r="C51"/>
  <c r="C53"/>
  <c r="C49"/>
  <c r="E56"/>
  <c r="E82" i="5"/>
  <c r="E81" i="6"/>
  <c r="E81" i="7"/>
  <c r="C41" i="4"/>
  <c r="C39"/>
  <c r="C40" s="1"/>
  <c r="C33"/>
  <c r="C31"/>
  <c r="C30"/>
  <c r="C29"/>
  <c r="F61" i="11" l="1"/>
  <c r="E64" i="4"/>
  <c r="E58"/>
  <c r="F67" i="11" l="1"/>
  <c r="F68" s="1"/>
  <c r="F62"/>
  <c r="D37" i="4"/>
  <c r="E71" l="1"/>
  <c r="E15"/>
  <c r="E16"/>
  <c r="E4"/>
  <c r="E5"/>
  <c r="E6"/>
  <c r="E7"/>
  <c r="E8"/>
  <c r="E9"/>
  <c r="E10"/>
  <c r="E11"/>
  <c r="E12"/>
  <c r="E13"/>
  <c r="E14"/>
  <c r="E45"/>
  <c r="E44"/>
  <c r="E43"/>
  <c r="E37"/>
  <c r="D40"/>
  <c r="B80"/>
  <c r="G3" s="1"/>
  <c r="E70"/>
  <c r="E65"/>
  <c r="E63"/>
  <c r="E62"/>
  <c r="E61"/>
  <c r="E57"/>
  <c r="E56"/>
  <c r="E55"/>
  <c r="E54"/>
  <c r="E53"/>
  <c r="E52"/>
  <c r="D48"/>
  <c r="D47"/>
  <c r="E47" s="1"/>
  <c r="D46"/>
  <c r="E46" s="1"/>
  <c r="D42"/>
  <c r="D41"/>
  <c r="C42"/>
  <c r="B41"/>
  <c r="B42" s="1"/>
  <c r="D39"/>
  <c r="B39"/>
  <c r="D38"/>
  <c r="E38" s="1"/>
  <c r="D36"/>
  <c r="E36" s="1"/>
  <c r="D35"/>
  <c r="E35" s="1"/>
  <c r="D34"/>
  <c r="E34" s="1"/>
  <c r="D33"/>
  <c r="B33"/>
  <c r="D32"/>
  <c r="C32"/>
  <c r="B32"/>
  <c r="D31"/>
  <c r="B31"/>
  <c r="D30"/>
  <c r="B30"/>
  <c r="D29"/>
  <c r="B29"/>
  <c r="D28"/>
  <c r="B28"/>
  <c r="D27"/>
  <c r="C27"/>
  <c r="B27"/>
  <c r="D26"/>
  <c r="C26"/>
  <c r="B26"/>
  <c r="D25"/>
  <c r="C25"/>
  <c r="B25"/>
  <c r="D24"/>
  <c r="C24"/>
  <c r="B24"/>
  <c r="D23"/>
  <c r="C23"/>
  <c r="B23"/>
  <c r="D22"/>
  <c r="C22"/>
  <c r="B22"/>
  <c r="E18"/>
  <c r="F12" l="1"/>
  <c r="F4"/>
  <c r="F36"/>
  <c r="F8"/>
  <c r="F18"/>
  <c r="F54"/>
  <c r="F61"/>
  <c r="F70"/>
  <c r="E31"/>
  <c r="F43"/>
  <c r="E48"/>
  <c r="F48" s="1"/>
  <c r="F16"/>
  <c r="F52"/>
  <c r="F56"/>
  <c r="F63"/>
  <c r="F45"/>
  <c r="F14"/>
  <c r="F10"/>
  <c r="F59"/>
  <c r="F60"/>
  <c r="F58"/>
  <c r="F64"/>
  <c r="F6"/>
  <c r="E30"/>
  <c r="F30" s="1"/>
  <c r="F47"/>
  <c r="E23"/>
  <c r="E24"/>
  <c r="E32"/>
  <c r="F32" s="1"/>
  <c r="E22"/>
  <c r="F23"/>
  <c r="F34"/>
  <c r="E29"/>
  <c r="F29" s="1"/>
  <c r="F65"/>
  <c r="F35"/>
  <c r="E33"/>
  <c r="F33" s="1"/>
  <c r="F31"/>
  <c r="F38"/>
  <c r="E27"/>
  <c r="F27" s="1"/>
  <c r="E28"/>
  <c r="F28" s="1"/>
  <c r="E39"/>
  <c r="F39" s="1"/>
  <c r="E40"/>
  <c r="F40" s="1"/>
  <c r="E41"/>
  <c r="F41" s="1"/>
  <c r="E42"/>
  <c r="F42" s="1"/>
  <c r="E25"/>
  <c r="F25" s="1"/>
  <c r="F22"/>
  <c r="E26"/>
  <c r="F26" s="1"/>
  <c r="F24"/>
  <c r="F5"/>
  <c r="F9"/>
  <c r="F13"/>
  <c r="F17"/>
  <c r="F46"/>
  <c r="F7"/>
  <c r="F11"/>
  <c r="F15"/>
  <c r="F37"/>
  <c r="F71"/>
  <c r="F44"/>
  <c r="F53"/>
  <c r="F55"/>
  <c r="F57"/>
  <c r="F62"/>
  <c r="F72" l="1"/>
  <c r="F66"/>
  <c r="F49"/>
  <c r="F19"/>
  <c r="E81" l="1"/>
</calcChain>
</file>

<file path=xl/sharedStrings.xml><?xml version="1.0" encoding="utf-8"?>
<sst xmlns="http://schemas.openxmlformats.org/spreadsheetml/2006/main" count="885" uniqueCount="339">
  <si>
    <t>Descriçao</t>
  </si>
  <si>
    <t>Quant.</t>
  </si>
  <si>
    <t>Encarregado</t>
  </si>
  <si>
    <t>Ajudante</t>
  </si>
  <si>
    <t>Vigia</t>
  </si>
  <si>
    <t>Topografia</t>
  </si>
  <si>
    <t>Auxiliar topografia</t>
  </si>
  <si>
    <t>Laboratorista</t>
  </si>
  <si>
    <t>Auxiliar laboratório</t>
  </si>
  <si>
    <t>Veículo topografia</t>
  </si>
  <si>
    <t>Veículo laboratório</t>
  </si>
  <si>
    <t>Valor</t>
  </si>
  <si>
    <t>Total</t>
  </si>
  <si>
    <t>BDI</t>
  </si>
  <si>
    <t>Vibro acabadora</t>
  </si>
  <si>
    <t>Caminhão Espargidor</t>
  </si>
  <si>
    <t>Op. Vibroacabadora</t>
  </si>
  <si>
    <t>Op. Caminhão espargidor</t>
  </si>
  <si>
    <t>Rasteleiro</t>
  </si>
  <si>
    <t>Encarregado asfalto</t>
  </si>
  <si>
    <t>Veículo encarregado</t>
  </si>
  <si>
    <t>Motoniveladora</t>
  </si>
  <si>
    <t>Trator Agrícola grade</t>
  </si>
  <si>
    <t>Pipa</t>
  </si>
  <si>
    <t xml:space="preserve"> Op.Motoniveladora</t>
  </si>
  <si>
    <t>Op. Trator Agrícola grade</t>
  </si>
  <si>
    <t>Op. Pipa</t>
  </si>
  <si>
    <t>Escavadeira</t>
  </si>
  <si>
    <t>Retroescavadeira</t>
  </si>
  <si>
    <t>Op. Escavadeira</t>
  </si>
  <si>
    <t>EQUIPAMENTOS</t>
  </si>
  <si>
    <t>MÃO DE OBRA</t>
  </si>
  <si>
    <t>MATERIAIS</t>
  </si>
  <si>
    <t>TOTAL</t>
  </si>
  <si>
    <t>Op. Retroescavadeira</t>
  </si>
  <si>
    <t>Prazo (horas)</t>
  </si>
  <si>
    <t>Rolo Pé de carneiro</t>
  </si>
  <si>
    <t>Rolo chapa/pneus</t>
  </si>
  <si>
    <t>Op. Rolo pé de carneiro</t>
  </si>
  <si>
    <t>Op. rolo  chapa/pneus</t>
  </si>
  <si>
    <t>m³</t>
  </si>
  <si>
    <t xml:space="preserve">Caminhão Basculante </t>
  </si>
  <si>
    <t>FRETE</t>
  </si>
  <si>
    <t>Trator de esteira</t>
  </si>
  <si>
    <t>Op. Trator de esteira</t>
  </si>
  <si>
    <t>Op. Caminhão basculante</t>
  </si>
  <si>
    <t>Greidista</t>
  </si>
  <si>
    <t>ALIMENTAÇÃO E TRANSPORTE</t>
  </si>
  <si>
    <r>
      <t xml:space="preserve">Alimentação </t>
    </r>
    <r>
      <rPr>
        <b/>
        <sz val="11"/>
        <color theme="1"/>
        <rFont val="Calibri"/>
        <family val="2"/>
        <scheme val="minor"/>
      </rPr>
      <t>(dias)</t>
    </r>
  </si>
  <si>
    <t xml:space="preserve">Prazo </t>
  </si>
  <si>
    <t>COMPOSIÇÃO BDI</t>
  </si>
  <si>
    <t xml:space="preserve"> </t>
  </si>
  <si>
    <t>RISCO</t>
  </si>
  <si>
    <t>SEGURO</t>
  </si>
  <si>
    <t>SEDE - ADM CENTRAL</t>
  </si>
  <si>
    <t>LUCRO</t>
  </si>
  <si>
    <t>IMPOSTOS</t>
  </si>
  <si>
    <t>Concreto</t>
  </si>
  <si>
    <t>unid</t>
  </si>
  <si>
    <t>m</t>
  </si>
  <si>
    <t>Pedreiro</t>
  </si>
  <si>
    <t>Caceteiro meio fio (m²)</t>
  </si>
  <si>
    <t>Caceteiro bloco sextavado (m²)</t>
  </si>
  <si>
    <t>m2</t>
  </si>
  <si>
    <t>t</t>
  </si>
  <si>
    <t>Enacarregado (Drenagem)</t>
  </si>
  <si>
    <t>Ajudante de pedreiro</t>
  </si>
  <si>
    <t>Massa asfáltica</t>
  </si>
  <si>
    <t>Emulsão RR 1C</t>
  </si>
  <si>
    <t>Caceteiro Sarjeta m</t>
  </si>
  <si>
    <t>Placa de obra</t>
  </si>
  <si>
    <t>Plca esmaltada</t>
  </si>
  <si>
    <t>Sinalização horizontal</t>
  </si>
  <si>
    <t>Emulsão CM 30</t>
  </si>
  <si>
    <t>l</t>
  </si>
  <si>
    <t>Transporte</t>
  </si>
  <si>
    <t>Placa de sinalização rua</t>
  </si>
  <si>
    <t>m3</t>
  </si>
  <si>
    <t>Bica Corrida</t>
  </si>
  <si>
    <t>Caminhão Basculante Bica Asfalto</t>
  </si>
  <si>
    <t xml:space="preserve">Soprador </t>
  </si>
  <si>
    <t>Acréscimo PV</t>
  </si>
  <si>
    <t>Tubo de aço</t>
  </si>
  <si>
    <t>Sarjeta</t>
  </si>
  <si>
    <t>Mei fio/sarjeta</t>
  </si>
  <si>
    <t>Tubo de concreto 400 mm</t>
  </si>
  <si>
    <t>Tubo de concreto 600 mm</t>
  </si>
  <si>
    <t>Boca de lobo pré moldada</t>
  </si>
  <si>
    <t>Sapo compactador</t>
  </si>
  <si>
    <t>mês</t>
  </si>
  <si>
    <t>Tampão de ferro fundido</t>
  </si>
  <si>
    <t>Bloco estrutural</t>
  </si>
  <si>
    <t>Cimento</t>
  </si>
  <si>
    <t>Cal Hidratada</t>
  </si>
  <si>
    <t>sc</t>
  </si>
  <si>
    <t>Ferragem</t>
  </si>
  <si>
    <t>Madeira Forma</t>
  </si>
  <si>
    <t>vb</t>
  </si>
  <si>
    <t xml:space="preserve">Acréscimo do PV </t>
  </si>
  <si>
    <t>OP Moto serra</t>
  </si>
  <si>
    <t xml:space="preserve">                              MEMORIAL DE CÁLCULO - VALE VERDE (TERRA DE CULTIVO) </t>
  </si>
  <si>
    <t>Tubo de concreto 800 mm</t>
  </si>
  <si>
    <t>Quantidade</t>
  </si>
  <si>
    <t>Unidade</t>
  </si>
  <si>
    <t>Preço Unitário</t>
  </si>
  <si>
    <t>Preço Parcial</t>
  </si>
  <si>
    <t>REDE PLUVIAL</t>
  </si>
  <si>
    <t>Valor Total</t>
  </si>
  <si>
    <t>Fornecimento de tubo de concreto para rede pluvial Ø400</t>
  </si>
  <si>
    <t>M</t>
  </si>
  <si>
    <t>Fornecimento de tubo de concreto para rede pluvial Ø600</t>
  </si>
  <si>
    <t>Fornecimento de tubo de concreto para rede pluvial Ø800</t>
  </si>
  <si>
    <t>Esc., regul., assent. e reat. de tubo concreto para rede pluvial Ø400mm h=1m</t>
  </si>
  <si>
    <t>Esc., regul., assent. e reat. de tubo concreto para rede pluvial Ø600mm h=1,5m</t>
  </si>
  <si>
    <t>Esc., regul., assent. e reat. de tubo concreto para rede pluvial Ø800mm h=2m</t>
  </si>
  <si>
    <t>Fornecimento Tampão de Ferro Fundido - Rede Pluvial</t>
  </si>
  <si>
    <t>UN</t>
  </si>
  <si>
    <t>PV pluvial 1ª fase inclusive tampa de concreto 1,50 x 1,50 x 1,20m (Interno)</t>
  </si>
  <si>
    <t>PV pluvial 2ª fase</t>
  </si>
  <si>
    <t>Fornecimento de Boca de Lobo pré-moldada 1,06 x 0,68 x 1,34m (Externo)</t>
  </si>
  <si>
    <t>CJ</t>
  </si>
  <si>
    <t>Fornecimento de guia chapéu para boca de lobo</t>
  </si>
  <si>
    <t>Assentamento de boca de lobo</t>
  </si>
  <si>
    <t>Assentamento de guia chapéu para boca de lobo</t>
  </si>
  <si>
    <t>Dissipador de água pluvial</t>
  </si>
  <si>
    <t>Teste da rede pluvial</t>
  </si>
  <si>
    <t>REDE DE ESGOTO</t>
  </si>
  <si>
    <t>Fornecimento de tubo para rede de esgoto Ø150mm</t>
  </si>
  <si>
    <t>Fornecimento de selim/conexão e cap para ramal de esgoto</t>
  </si>
  <si>
    <t>Esc., regul., assent. e reat. de tubo para rede de esgoto Ø150mm</t>
  </si>
  <si>
    <t>Assentamento de selim/conexão para ramal da rede de esgoto</t>
  </si>
  <si>
    <t>Fornecimento Tampão de Ferro Fundido - Rede Esgoto</t>
  </si>
  <si>
    <t>PV de esgoto 1ª fase</t>
  </si>
  <si>
    <t>PV de esgoto 2ª fase</t>
  </si>
  <si>
    <t>Estação elevatória de esgoto</t>
  </si>
  <si>
    <t>Teste da rede de esgoto</t>
  </si>
  <si>
    <t>REDE DE ÁGUA POTÁVEL</t>
  </si>
  <si>
    <t>Fornecimento de tubo de rede potável Ø50mm</t>
  </si>
  <si>
    <t>Fornecimento de tubo de rede potável Ø75mm</t>
  </si>
  <si>
    <t>Fornecimento de tubo de rede potável Ø100mm</t>
  </si>
  <si>
    <t>Fornecimento de conexões e registros de água potável</t>
  </si>
  <si>
    <t>Esc., regul., assent. e reat. de tubo de rede potável Ø50mm</t>
  </si>
  <si>
    <t>Esc., regul., assent. e reat. de tubo de rede potável Ø75mm</t>
  </si>
  <si>
    <t>Esc., regul., assent. e reat. de tubo de rede potável Ø100mm</t>
  </si>
  <si>
    <t>PV de água potável</t>
  </si>
  <si>
    <t>Reservatório de água potável 75m³</t>
  </si>
  <si>
    <t>Teste da rede de água potável</t>
  </si>
  <si>
    <t>PAVIMENTAÇÃO</t>
  </si>
  <si>
    <t>Verificação topografica das vias</t>
  </si>
  <si>
    <t>dias</t>
  </si>
  <si>
    <t>Execução de subleito com escarificação de 20cm</t>
  </si>
  <si>
    <t>Execução de base para sarjeta h=5cm L=1m</t>
  </si>
  <si>
    <t>Imprimação com emulsão CM 30 com fornecimento de material</t>
  </si>
  <si>
    <t>Pintura de ligação com emulsão  RR 1C com fornecimento de material</t>
  </si>
  <si>
    <t>Aplicação de capa asfáltica (CBUQ)  3cm</t>
  </si>
  <si>
    <t>VALOR TOTAL</t>
  </si>
  <si>
    <t>ÁREA</t>
  </si>
  <si>
    <t>ESP</t>
  </si>
  <si>
    <t>MASSA</t>
  </si>
  <si>
    <t>TON</t>
  </si>
  <si>
    <t>CUSTO -PAV. TON</t>
  </si>
  <si>
    <t>PRODUTIVIDADE DIA</t>
  </si>
  <si>
    <t>TON/DIA</t>
  </si>
  <si>
    <t>VIAGENS DIA 80% PRODUT</t>
  </si>
  <si>
    <t>TOTAL DE DIAS</t>
  </si>
  <si>
    <t>FRETE MASSA</t>
  </si>
  <si>
    <t>Execução de base de 15cm compactado (66% cascalho 34 % bica)</t>
  </si>
  <si>
    <t>Guias e sarjetas extrusadas pintadas</t>
  </si>
  <si>
    <t>M²</t>
  </si>
  <si>
    <t xml:space="preserve">M </t>
  </si>
  <si>
    <t>DESCRIÇÃO</t>
  </si>
  <si>
    <t>Pavimentação</t>
  </si>
  <si>
    <t>Memória de Cálculo</t>
  </si>
  <si>
    <t>Desconto 5%</t>
  </si>
  <si>
    <t xml:space="preserve">Pagamento em 10 parcelas de </t>
  </si>
  <si>
    <t xml:space="preserve">Pagamento em 05 parcelas de </t>
  </si>
  <si>
    <t>Valor final</t>
  </si>
  <si>
    <t xml:space="preserve">Obs: Entrada de 20% (vinte por cento) no início dos seviços e o restante em (10) dez pagamentos, ou (05) cinco pagamentos.                                                                                                                                                                                           Os materiais Bica Corrida e Cascalho seram faturado direto para o cliente, respeitando o prazo de pagamento, sendo descontados nas ultimas parcelas.
A NF do faturamento será emitida como 70% fornecimento de material 30% execução de Serviço.
Para o parcelamento em 10 x as duas primeiras parcelas seram efetuadas um dia após a assinatura do contrato.
Para o parcelamento em 05 x a primeira parcelas seram efetuadas um dia após a assinatura do contrato.                               </t>
  </si>
  <si>
    <t>SINAP</t>
  </si>
  <si>
    <t>SUDECAP</t>
  </si>
  <si>
    <t>1.1</t>
  </si>
  <si>
    <t>1.2</t>
  </si>
  <si>
    <t>Escavação mecanica de valas com retroescavadeira profunidade até 1,50m</t>
  </si>
  <si>
    <t>Substituição de solo mole por material granular (incl. fornecimento e lançamento de rachão)</t>
  </si>
  <si>
    <t>Demolição de pavimentação asfaltica com equipamento pneumático exclusive transporte</t>
  </si>
  <si>
    <t>Demolição manual de pavimentação asfaltica exclusive transporte</t>
  </si>
  <si>
    <t>Carga e descarga de material proveniente de demolição e fresagem</t>
  </si>
  <si>
    <t>Transporte comercial caminhão basculante 6m3</t>
  </si>
  <si>
    <t>Corte mecanico com serra circular em concreto/asfalto</t>
  </si>
  <si>
    <t>Fresagem descontinua de pavimento asfaltica</t>
  </si>
  <si>
    <t>Espessura &lt;= 5cm</t>
  </si>
  <si>
    <t>Espessura &gt; 5cm &lt; 10cm</t>
  </si>
  <si>
    <t>Reciclagem com incorporação do revestimento asfaltica a base com adição de brita e cimento</t>
  </si>
  <si>
    <t>Regularização e compactação de subleito</t>
  </si>
  <si>
    <t>Execução de sub-base / base de brita graduada com proctor intermediário, incluindo fornecimen</t>
  </si>
  <si>
    <t>Transporte comercial caminhão basculante 10m3 (material granular sub-base e base)</t>
  </si>
  <si>
    <t>Imprimação com material betuminoso (CM-30)</t>
  </si>
  <si>
    <t>2.1</t>
  </si>
  <si>
    <t>2.2</t>
  </si>
  <si>
    <t>2.2.1</t>
  </si>
  <si>
    <t>2.2.2</t>
  </si>
  <si>
    <t>2.3</t>
  </si>
  <si>
    <t>2.4</t>
  </si>
  <si>
    <t>2.4.1</t>
  </si>
  <si>
    <t>2.4.2</t>
  </si>
  <si>
    <t>2.6</t>
  </si>
  <si>
    <t>2.7</t>
  </si>
  <si>
    <t>2.5</t>
  </si>
  <si>
    <t>2.7.1</t>
  </si>
  <si>
    <t>2.8</t>
  </si>
  <si>
    <t>2.9</t>
  </si>
  <si>
    <t>Pintura de ligação com emulsão RR-2C</t>
  </si>
  <si>
    <t>2.10</t>
  </si>
  <si>
    <t>Concreto betuminoso usinado a quente, faixa C (Usinagem e aplicação) CAP 50/70, incluindo
fornecimento de todos os materias, equipamentos, e serviços de aplicação, exceto transporte
do CBUQ até locais de aplicação</t>
  </si>
  <si>
    <t>Transporte comercial camihão basculante 6m3 (CBUQ até local da obra)</t>
  </si>
  <si>
    <t>2.20.1</t>
  </si>
  <si>
    <t>TAPA-BURACOS</t>
  </si>
  <si>
    <t>Execução de tapa-buraco com CBUQ, CAP 50/70, incluindo usinagem e aplicação, fornecimento
de todos os materiais, pintura de ligação e limpeza da superficie e aplicação de CBUQ</t>
  </si>
  <si>
    <t>3.1</t>
  </si>
  <si>
    <t>3.1.1</t>
  </si>
  <si>
    <t>MOVIMENTO DE TERRA</t>
  </si>
  <si>
    <t>ITEM</t>
  </si>
  <si>
    <t>DESCRIMINAÇÃO</t>
  </si>
  <si>
    <t>QTDE</t>
  </si>
  <si>
    <t>UND</t>
  </si>
  <si>
    <t>P UNIT
R$</t>
  </si>
  <si>
    <t>P UNIT.
C/BDI
R$</t>
  </si>
  <si>
    <t>TOTAL
R$</t>
  </si>
  <si>
    <t>M3</t>
  </si>
  <si>
    <t>M2</t>
  </si>
  <si>
    <t>M3 x km</t>
  </si>
  <si>
    <t>ton</t>
  </si>
  <si>
    <t>ton x km</t>
  </si>
  <si>
    <t>Sub total</t>
  </si>
  <si>
    <t>SICRO-MG</t>
  </si>
  <si>
    <t>SICRO-COT</t>
  </si>
  <si>
    <t>Ton</t>
  </si>
  <si>
    <t>Tonx Km</t>
  </si>
  <si>
    <t>Fresadora</t>
  </si>
  <si>
    <t>Mini Carregadeira</t>
  </si>
  <si>
    <t>Caminhão Carroceria (Apoio)</t>
  </si>
  <si>
    <t>Caminhão Basculante Asfalto</t>
  </si>
  <si>
    <t>Caminhão Basculante (Transp. Fresa)</t>
  </si>
  <si>
    <t>Carro de Apoio (Kombi)</t>
  </si>
  <si>
    <t>Op. Fresadora</t>
  </si>
  <si>
    <t>Mot. Caminhão Carroceria (Apoio)</t>
  </si>
  <si>
    <t>Mot .Carro de Apoio (Kombi)</t>
  </si>
  <si>
    <t>Op. Mini Carregadeira</t>
  </si>
  <si>
    <t>dias corridos</t>
  </si>
  <si>
    <t>meses</t>
  </si>
  <si>
    <t>FRESAGEM</t>
  </si>
  <si>
    <t>Bits</t>
  </si>
  <si>
    <t>Escovas</t>
  </si>
  <si>
    <t>Sinalização</t>
  </si>
  <si>
    <t>EPI</t>
  </si>
  <si>
    <t>M.C RESUMO</t>
  </si>
  <si>
    <t>Apontador</t>
  </si>
  <si>
    <t>Caminhão Basculante</t>
  </si>
  <si>
    <t>Carretinha</t>
  </si>
  <si>
    <t>Veículo de Transporte</t>
  </si>
  <si>
    <t>Mini Rolo</t>
  </si>
  <si>
    <t>Motorista de Apoio</t>
  </si>
  <si>
    <t>VIAGENS DIA 100% PRODUT</t>
  </si>
  <si>
    <t>Emulsão RR 1C (Ligação)</t>
  </si>
  <si>
    <t>Emulsão CM 30 (Impermebilização)</t>
  </si>
  <si>
    <t>MASSA ALSFÁLTICA + RR</t>
  </si>
  <si>
    <t>horas</t>
  </si>
  <si>
    <t>Meta Mês</t>
  </si>
  <si>
    <t>APLICAÇÃO</t>
  </si>
  <si>
    <t>DESPESAS FINANCEIRAS</t>
  </si>
  <si>
    <t xml:space="preserve"> MEMORIAL DE CÁLCULO - POUSO ALEGRE 02 - PAVIMENTAÇÃO
  30/01/2018</t>
  </si>
  <si>
    <t xml:space="preserve"> MEMORIAL DE CÁLCULO - POUSO ALEGRE 02 - TAPA BURACO
  30/01/2018</t>
  </si>
  <si>
    <t>ANEXO IX</t>
  </si>
  <si>
    <t>PLANILHA DE CUSTOS</t>
  </si>
  <si>
    <t xml:space="preserve">São Paulo, 19 de fevereiro de 2018.
____________________________________________
POTENZA ENGENHARIA E CONSTRUÇÃO LTDA.
CNPJ: 58.853.169/0001-74
 P/P: ANTONIO EDUARDO PIRES PINTO
RG: 13.221.941-4 SSP/SP
CPF: 054.823.848-02
PROCURADOR
</t>
  </si>
  <si>
    <t>GARANTIA+SEGURO</t>
  </si>
  <si>
    <t>ADMINISTRAÇÃO CENTRAL</t>
  </si>
  <si>
    <t>SUBTOTAL I = 1+((1+2+3)/100)</t>
  </si>
  <si>
    <t>SUBTOTAL II = 1+(4/100)</t>
  </si>
  <si>
    <t>SUBTOTAL III = 1+(5/100)</t>
  </si>
  <si>
    <t>TRIBUTOS FEDERAIS</t>
  </si>
  <si>
    <t>COFINS</t>
  </si>
  <si>
    <t>PIS/PASEP</t>
  </si>
  <si>
    <t>IRPJ</t>
  </si>
  <si>
    <t>CSLL</t>
  </si>
  <si>
    <t>TRIBUTOS MUNICIPAL</t>
  </si>
  <si>
    <t>ISS</t>
  </si>
  <si>
    <t>SUBTOTAL IV = (6+7+8+9+10)/100</t>
  </si>
  <si>
    <t>INSS</t>
  </si>
  <si>
    <t>DESPESAS INDIRETAS E LUCRO</t>
  </si>
  <si>
    <t>%</t>
  </si>
  <si>
    <t>ITEM COMPONENTE DO BDI</t>
  </si>
  <si>
    <t>ANEXO X</t>
  </si>
  <si>
    <t>COMPOSIÇÃO DE BDI</t>
  </si>
  <si>
    <t xml:space="preserve">TOTAL DO BDI </t>
  </si>
  <si>
    <t>São Paulo, 19 de fevereiro de 2018.
____________________________________________
POTENZA ENGENHARIA E CONSTRUÇÃO LTDA.
CNPJ: 58.853.169/0001-74
 P/P: ANTONIO EDUARDO PIRES PINTO
RG: 13.221.941-4 SSP/SP
CPF: 054.823.848-02
PROCURADOR</t>
  </si>
  <si>
    <t>Planilha Orçamentária</t>
  </si>
  <si>
    <t>CÓDIGO</t>
  </si>
  <si>
    <t>FONTE</t>
  </si>
  <si>
    <t>SERVIÇOS</t>
  </si>
  <si>
    <t>UNID.</t>
  </si>
  <si>
    <t>QUANT. A EXECUTAR</t>
  </si>
  <si>
    <t>PREÇO UNIT. SEM BDI</t>
  </si>
  <si>
    <t>PREÇO UNIT. COM BDI 24,23%</t>
  </si>
  <si>
    <t>PREÇO A EXECUTAR SEM BDI</t>
  </si>
  <si>
    <t>PREÇO A EXECUTAR COM BDI 24,23%</t>
  </si>
  <si>
    <t>1.0</t>
  </si>
  <si>
    <t>1.3</t>
  </si>
  <si>
    <t>2.0</t>
  </si>
  <si>
    <t xml:space="preserve">               </t>
  </si>
  <si>
    <t>TOTAL GERAL</t>
  </si>
  <si>
    <t>RINALDO LIMA OLIVEIRA</t>
  </si>
  <si>
    <t>RODRIGO TEIXEIRA DE OLIVEIRA</t>
  </si>
  <si>
    <t>SECRETÁRIO MUNICIPAL DE INFRAESTRUTURA, OBRAS E SERVIÇOS PÚBLICOS</t>
  </si>
  <si>
    <t xml:space="preserve">GERENTE DE INFRAESTRUTURA </t>
  </si>
  <si>
    <t>CREA 5062990258</t>
  </si>
  <si>
    <t>MOVIMENTAÇÃO DE TERRA</t>
  </si>
  <si>
    <t>ESCAVAÇÃO MECANIZADA DE VALA COM PROFUNDIDADE ATÉ 1,5 M COM RETROESCAVADEIRA</t>
  </si>
  <si>
    <t>SINAPI MAI/18</t>
  </si>
  <si>
    <t>74010/001</t>
  </si>
  <si>
    <t>REGULARIZAÇÃO E COMPACTAÇÃO DE SUBLEITO ATÉ 20 CM DE ESPESSURA</t>
  </si>
  <si>
    <t>EXECUÇÃO E COMPACTAÇÃO DE BASE E OU SUB BASE COM PEDRA RACHÃO - EXCLUSIVE ESCAVAÇÃO, CARGA E TRANSPORTE</t>
  </si>
  <si>
    <t>EXECUÇÃO E COMPACTAÇÃO DE BASE E OU SUB BASE COM BRITA GRADUADA SIMPLES - EXCLUSIVE CARGA E TRANSPORTE</t>
  </si>
  <si>
    <t>m3xkm</t>
  </si>
  <si>
    <t>EXECUÇÃO DE IMPRIMAÇÃO COM ASFALTO DILUÍDO CM-30.</t>
  </si>
  <si>
    <t>EXECUÇÃO DE IMPRIMAÇÃO LIGANTE COM EMULSÃO ASFÁLTICA RR-2C</t>
  </si>
  <si>
    <t>tonxkm</t>
  </si>
  <si>
    <t>CONCRETO BETUMINOSO USINADO A QUENTE - FAIXA C COM CAP 50/70 - FORNECIMENTO DE TODOS OS MATERIAIS, EQUIPAMENTOS E SERVIÇOS DE APLICAÇÃO - EXCLUSIVE TRANSPORTE</t>
  </si>
  <si>
    <t>20.13.05</t>
  </si>
  <si>
    <t>SUDECAP ABR/18</t>
  </si>
  <si>
    <t>Base de Preços: SINAPI MAI/18 e SUDECAP ABR/18</t>
  </si>
  <si>
    <t>20.20.01</t>
  </si>
  <si>
    <t>FRESAGEM DE ASFALTO ATE 5,0 CM:</t>
  </si>
  <si>
    <t>TRANSPORTE COM CAMINHÃO BASCULANTE DE 6 M3, EM VIA URBANA PAVIMENTADA, DMT ATÉ 30 KM (MATERIAL PROVENIENTE DE DEMOLIÇÃO E FRESAGEM)</t>
  </si>
  <si>
    <t>CARGA E DESCARGA MECÂNICA DE SOLO UTILIZANDO CAMINHAO BASCULANTE 6,0M3 (MATERIAL PROVENIENTE DE DEMOLIÇÃO E FRESAGEM)</t>
  </si>
  <si>
    <t>TRANSPORTE COM CAMINHÃO BASCULANTE DE 10 M3, EM VIA URBANA PAVIMENTADA, DMT ATÉ 30 KM  (MATERIAL PARA SUB-BASE E BASE)</t>
  </si>
  <si>
    <t>TRANSPORTE COM CAMINHÃO BASCULANTE DE 10 M3, EM VIA URBANA PAVIMENTADA, DMT ACIMA DE 30 KM  (MATERIAL PARA ASFALTO)</t>
  </si>
  <si>
    <t>OBRA: Execução de asfalto com base e sub-base para recomposição de vias públicas</t>
  </si>
  <si>
    <t>Data: 26/07/2018</t>
  </si>
</sst>
</file>

<file path=xl/styles.xml><?xml version="1.0" encoding="utf-8"?>
<styleSheet xmlns="http://schemas.openxmlformats.org/spreadsheetml/2006/main">
  <numFmts count="9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0.0%"/>
    <numFmt numFmtId="166" formatCode="_-* #,##0_-;\-* #,##0_-;_-* &quot;-&quot;??_-;_-@_-"/>
    <numFmt numFmtId="167" formatCode="#,##0.00_ ;\-#,##0.00\ "/>
    <numFmt numFmtId="168" formatCode="0.000"/>
    <numFmt numFmtId="169" formatCode="_-* #,##0.0000_-;\-* #,##0.0000_-;_-* &quot;-&quot;??_-;_-@_-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51">
    <xf numFmtId="0" fontId="0" fillId="0" borderId="0" xfId="0"/>
    <xf numFmtId="0" fontId="0" fillId="0" borderId="0" xfId="0" applyAlignment="1">
      <alignment horizontal="center"/>
    </xf>
    <xf numFmtId="44" fontId="0" fillId="0" borderId="0" xfId="1" applyFont="1"/>
    <xf numFmtId="44" fontId="0" fillId="0" borderId="0" xfId="0" applyNumberFormat="1"/>
    <xf numFmtId="0" fontId="0" fillId="0" borderId="1" xfId="0" applyBorder="1"/>
    <xf numFmtId="0" fontId="0" fillId="0" borderId="1" xfId="0" applyBorder="1" applyAlignment="1">
      <alignment horizontal="center"/>
    </xf>
    <xf numFmtId="44" fontId="0" fillId="0" borderId="1" xfId="1" applyFont="1" applyBorder="1"/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right" vertical="center" wrapText="1"/>
    </xf>
    <xf numFmtId="44" fontId="1" fillId="0" borderId="1" xfId="1" applyFont="1" applyBorder="1" applyAlignment="1">
      <alignment horizontal="center" vertical="center"/>
    </xf>
    <xf numFmtId="0" fontId="0" fillId="0" borderId="8" xfId="0" applyFont="1" applyBorder="1" applyAlignment="1">
      <alignment horizontal="left" vertical="center"/>
    </xf>
    <xf numFmtId="0" fontId="0" fillId="0" borderId="9" xfId="0" applyFont="1" applyBorder="1" applyAlignment="1">
      <alignment horizontal="center" vertical="center"/>
    </xf>
    <xf numFmtId="0" fontId="0" fillId="0" borderId="9" xfId="0" applyFont="1" applyBorder="1" applyAlignment="1">
      <alignment horizontal="right" vertical="center" wrapText="1"/>
    </xf>
    <xf numFmtId="44" fontId="1" fillId="0" borderId="9" xfId="1" applyFont="1" applyBorder="1" applyAlignment="1">
      <alignment horizontal="center" vertical="center"/>
    </xf>
    <xf numFmtId="0" fontId="0" fillId="0" borderId="11" xfId="0" applyFont="1" applyBorder="1" applyAlignment="1">
      <alignment horizontal="left" vertical="center"/>
    </xf>
    <xf numFmtId="44" fontId="0" fillId="0" borderId="12" xfId="0" applyNumberFormat="1" applyBorder="1"/>
    <xf numFmtId="0" fontId="0" fillId="0" borderId="11" xfId="0" applyBorder="1"/>
    <xf numFmtId="44" fontId="0" fillId="0" borderId="12" xfId="0" applyNumberFormat="1" applyFill="1" applyBorder="1"/>
    <xf numFmtId="0" fontId="0" fillId="0" borderId="13" xfId="0" applyBorder="1"/>
    <xf numFmtId="0" fontId="0" fillId="0" borderId="14" xfId="0" applyBorder="1" applyAlignment="1">
      <alignment horizontal="center"/>
    </xf>
    <xf numFmtId="0" fontId="0" fillId="0" borderId="14" xfId="0" applyBorder="1"/>
    <xf numFmtId="44" fontId="0" fillId="0" borderId="14" xfId="1" applyFont="1" applyBorder="1"/>
    <xf numFmtId="44" fontId="0" fillId="0" borderId="15" xfId="0" applyNumberFormat="1" applyBorder="1"/>
    <xf numFmtId="0" fontId="0" fillId="0" borderId="8" xfId="0" applyBorder="1"/>
    <xf numFmtId="0" fontId="0" fillId="0" borderId="9" xfId="0" applyBorder="1" applyAlignment="1">
      <alignment horizontal="center"/>
    </xf>
    <xf numFmtId="0" fontId="0" fillId="0" borderId="9" xfId="0" applyBorder="1"/>
    <xf numFmtId="44" fontId="0" fillId="0" borderId="9" xfId="1" applyFont="1" applyBorder="1"/>
    <xf numFmtId="44" fontId="0" fillId="0" borderId="15" xfId="0" applyNumberFormat="1" applyFill="1" applyBorder="1"/>
    <xf numFmtId="44" fontId="0" fillId="0" borderId="10" xfId="0" applyNumberFormat="1" applyFill="1" applyBorder="1"/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44" fontId="2" fillId="3" borderId="6" xfId="1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0" fillId="0" borderId="17" xfId="0" applyBorder="1"/>
    <xf numFmtId="0" fontId="0" fillId="0" borderId="18" xfId="0" applyBorder="1" applyAlignment="1">
      <alignment horizontal="center"/>
    </xf>
    <xf numFmtId="0" fontId="0" fillId="0" borderId="18" xfId="0" applyBorder="1"/>
    <xf numFmtId="44" fontId="0" fillId="0" borderId="18" xfId="1" applyFont="1" applyBorder="1"/>
    <xf numFmtId="44" fontId="0" fillId="0" borderId="19" xfId="0" applyNumberFormat="1" applyFill="1" applyBorder="1"/>
    <xf numFmtId="44" fontId="0" fillId="0" borderId="19" xfId="0" applyNumberFormat="1" applyBorder="1"/>
    <xf numFmtId="0" fontId="0" fillId="0" borderId="20" xfId="0" applyBorder="1"/>
    <xf numFmtId="0" fontId="0" fillId="0" borderId="21" xfId="0" applyBorder="1" applyAlignment="1">
      <alignment horizontal="center"/>
    </xf>
    <xf numFmtId="44" fontId="0" fillId="0" borderId="21" xfId="1" applyFont="1" applyBorder="1"/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4" fontId="0" fillId="0" borderId="9" xfId="1" applyFont="1" applyFill="1" applyBorder="1"/>
    <xf numFmtId="44" fontId="0" fillId="0" borderId="1" xfId="1" applyFont="1" applyFill="1" applyBorder="1"/>
    <xf numFmtId="44" fontId="0" fillId="5" borderId="22" xfId="0" applyNumberFormat="1" applyFill="1" applyBorder="1"/>
    <xf numFmtId="0" fontId="0" fillId="0" borderId="0" xfId="0" applyFill="1" applyBorder="1"/>
    <xf numFmtId="0" fontId="0" fillId="0" borderId="0" xfId="0" applyBorder="1"/>
    <xf numFmtId="44" fontId="0" fillId="0" borderId="0" xfId="1" applyFont="1" applyBorder="1"/>
    <xf numFmtId="0" fontId="0" fillId="0" borderId="24" xfId="0" applyFont="1" applyBorder="1" applyAlignment="1">
      <alignment horizontal="left" vertical="center"/>
    </xf>
    <xf numFmtId="0" fontId="0" fillId="0" borderId="25" xfId="0" applyFont="1" applyBorder="1" applyAlignment="1">
      <alignment horizontal="center" vertical="center"/>
    </xf>
    <xf numFmtId="0" fontId="0" fillId="0" borderId="25" xfId="0" applyFont="1" applyBorder="1" applyAlignment="1">
      <alignment horizontal="right" vertical="center" wrapText="1"/>
    </xf>
    <xf numFmtId="44" fontId="1" fillId="0" borderId="25" xfId="1" applyFont="1" applyBorder="1" applyAlignment="1">
      <alignment horizontal="center" vertical="center"/>
    </xf>
    <xf numFmtId="0" fontId="0" fillId="0" borderId="24" xfId="0" applyBorder="1"/>
    <xf numFmtId="0" fontId="0" fillId="0" borderId="25" xfId="0" applyBorder="1" applyAlignment="1">
      <alignment horizontal="center"/>
    </xf>
    <xf numFmtId="0" fontId="0" fillId="0" borderId="25" xfId="0" applyBorder="1"/>
    <xf numFmtId="44" fontId="0" fillId="0" borderId="26" xfId="1" applyFont="1" applyBorder="1"/>
    <xf numFmtId="44" fontId="0" fillId="0" borderId="27" xfId="0" applyNumberFormat="1" applyBorder="1"/>
    <xf numFmtId="0" fontId="2" fillId="2" borderId="4" xfId="0" applyFont="1" applyFill="1" applyBorder="1"/>
    <xf numFmtId="44" fontId="2" fillId="0" borderId="0" xfId="0" applyNumberFormat="1" applyFont="1" applyBorder="1"/>
    <xf numFmtId="9" fontId="2" fillId="6" borderId="29" xfId="2" applyFont="1" applyFill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 wrapText="1"/>
    </xf>
    <xf numFmtId="44" fontId="2" fillId="0" borderId="26" xfId="1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0" fillId="0" borderId="21" xfId="0" applyBorder="1"/>
    <xf numFmtId="0" fontId="0" fillId="0" borderId="31" xfId="0" applyBorder="1"/>
    <xf numFmtId="165" fontId="0" fillId="0" borderId="32" xfId="2" applyNumberFormat="1" applyFont="1" applyBorder="1" applyAlignment="1">
      <alignment horizontal="center"/>
    </xf>
    <xf numFmtId="0" fontId="0" fillId="0" borderId="32" xfId="0" applyBorder="1"/>
    <xf numFmtId="44" fontId="0" fillId="0" borderId="32" xfId="1" applyFont="1" applyBorder="1"/>
    <xf numFmtId="0" fontId="0" fillId="0" borderId="33" xfId="0" applyBorder="1"/>
    <xf numFmtId="0" fontId="0" fillId="0" borderId="34" xfId="0" applyBorder="1"/>
    <xf numFmtId="165" fontId="0" fillId="0" borderId="0" xfId="2" applyNumberFormat="1" applyFont="1" applyBorder="1" applyAlignment="1">
      <alignment horizontal="center"/>
    </xf>
    <xf numFmtId="0" fontId="0" fillId="0" borderId="35" xfId="0" applyBorder="1"/>
    <xf numFmtId="0" fontId="0" fillId="0" borderId="36" xfId="0" applyBorder="1"/>
    <xf numFmtId="165" fontId="0" fillId="0" borderId="37" xfId="2" applyNumberFormat="1" applyFont="1" applyBorder="1" applyAlignment="1">
      <alignment horizontal="center"/>
    </xf>
    <xf numFmtId="0" fontId="0" fillId="0" borderId="37" xfId="0" applyBorder="1"/>
    <xf numFmtId="44" fontId="0" fillId="0" borderId="37" xfId="1" applyFont="1" applyBorder="1"/>
    <xf numFmtId="0" fontId="0" fillId="0" borderId="23" xfId="0" applyBorder="1"/>
    <xf numFmtId="0" fontId="0" fillId="7" borderId="16" xfId="0" applyFill="1" applyBorder="1"/>
    <xf numFmtId="165" fontId="2" fillId="8" borderId="16" xfId="0" applyNumberFormat="1" applyFont="1" applyFill="1" applyBorder="1" applyAlignment="1">
      <alignment horizontal="center"/>
    </xf>
    <xf numFmtId="165" fontId="0" fillId="2" borderId="16" xfId="0" applyNumberFormat="1" applyFill="1" applyBorder="1"/>
    <xf numFmtId="0" fontId="0" fillId="0" borderId="14" xfId="0" applyBorder="1" applyAlignment="1">
      <alignment horizontal="center" vertical="center"/>
    </xf>
    <xf numFmtId="2" fontId="0" fillId="0" borderId="18" xfId="0" applyNumberFormat="1" applyBorder="1" applyAlignment="1">
      <alignment horizontal="center"/>
    </xf>
    <xf numFmtId="44" fontId="0" fillId="5" borderId="38" xfId="0" applyNumberFormat="1" applyFill="1" applyBorder="1"/>
    <xf numFmtId="44" fontId="0" fillId="5" borderId="39" xfId="0" applyNumberFormat="1" applyFill="1" applyBorder="1"/>
    <xf numFmtId="0" fontId="5" fillId="5" borderId="11" xfId="0" applyFont="1" applyFill="1" applyBorder="1"/>
    <xf numFmtId="0" fontId="5" fillId="5" borderId="1" xfId="0" applyFont="1" applyFill="1" applyBorder="1"/>
    <xf numFmtId="0" fontId="5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right"/>
    </xf>
    <xf numFmtId="8" fontId="5" fillId="5" borderId="12" xfId="0" applyNumberFormat="1" applyFont="1" applyFill="1" applyBorder="1"/>
    <xf numFmtId="0" fontId="2" fillId="0" borderId="0" xfId="0" applyFont="1"/>
    <xf numFmtId="0" fontId="6" fillId="0" borderId="11" xfId="0" applyFont="1" applyBorder="1"/>
    <xf numFmtId="2" fontId="6" fillId="0" borderId="1" xfId="0" applyNumberFormat="1" applyFont="1" applyBorder="1"/>
    <xf numFmtId="0" fontId="6" fillId="0" borderId="1" xfId="0" applyFont="1" applyBorder="1" applyAlignment="1">
      <alignment horizontal="center"/>
    </xf>
    <xf numFmtId="8" fontId="6" fillId="0" borderId="1" xfId="0" applyNumberFormat="1" applyFont="1" applyBorder="1" applyAlignment="1">
      <alignment horizontal="right"/>
    </xf>
    <xf numFmtId="8" fontId="6" fillId="0" borderId="12" xfId="0" applyNumberFormat="1" applyFont="1" applyBorder="1"/>
    <xf numFmtId="0" fontId="6" fillId="0" borderId="1" xfId="0" applyFont="1" applyBorder="1"/>
    <xf numFmtId="0" fontId="0" fillId="0" borderId="0" xfId="0" applyFont="1" applyFill="1"/>
    <xf numFmtId="164" fontId="0" fillId="0" borderId="0" xfId="0" applyNumberFormat="1"/>
    <xf numFmtId="43" fontId="0" fillId="0" borderId="0" xfId="0" applyNumberFormat="1"/>
    <xf numFmtId="166" fontId="0" fillId="0" borderId="32" xfId="3" applyNumberFormat="1" applyFont="1" applyBorder="1"/>
    <xf numFmtId="166" fontId="0" fillId="0" borderId="0" xfId="3" applyNumberFormat="1" applyFont="1" applyBorder="1"/>
    <xf numFmtId="166" fontId="0" fillId="0" borderId="37" xfId="3" applyNumberFormat="1" applyFont="1" applyBorder="1"/>
    <xf numFmtId="0" fontId="0" fillId="0" borderId="45" xfId="0" applyBorder="1"/>
    <xf numFmtId="44" fontId="0" fillId="0" borderId="45" xfId="1" applyFont="1" applyBorder="1"/>
    <xf numFmtId="0" fontId="0" fillId="0" borderId="46" xfId="0" applyBorder="1"/>
    <xf numFmtId="0" fontId="2" fillId="0" borderId="45" xfId="0" applyFont="1" applyBorder="1" applyAlignment="1">
      <alignment horizontal="center"/>
    </xf>
    <xf numFmtId="0" fontId="2" fillId="0" borderId="45" xfId="0" applyFont="1" applyBorder="1"/>
    <xf numFmtId="44" fontId="2" fillId="0" borderId="45" xfId="1" applyFont="1" applyBorder="1"/>
    <xf numFmtId="44" fontId="8" fillId="0" borderId="42" xfId="1" applyFont="1" applyBorder="1"/>
    <xf numFmtId="0" fontId="8" fillId="0" borderId="43" xfId="0" applyFont="1" applyBorder="1"/>
    <xf numFmtId="0" fontId="8" fillId="0" borderId="1" xfId="0" applyFont="1" applyBorder="1" applyAlignment="1">
      <alignment horizontal="center"/>
    </xf>
    <xf numFmtId="164" fontId="8" fillId="0" borderId="44" xfId="0" applyNumberFormat="1" applyFont="1" applyBorder="1" applyAlignment="1"/>
    <xf numFmtId="0" fontId="6" fillId="0" borderId="47" xfId="0" applyFont="1" applyFill="1" applyBorder="1"/>
    <xf numFmtId="0" fontId="6" fillId="0" borderId="50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left" vertical="center"/>
    </xf>
    <xf numFmtId="0" fontId="5" fillId="5" borderId="12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9" fillId="5" borderId="5" xfId="0" applyFont="1" applyFill="1" applyBorder="1" applyAlignment="1">
      <alignment horizontal="center" vertical="center"/>
    </xf>
    <xf numFmtId="8" fontId="5" fillId="5" borderId="7" xfId="0" applyNumberFormat="1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 wrapText="1"/>
    </xf>
    <xf numFmtId="0" fontId="6" fillId="9" borderId="48" xfId="0" applyFont="1" applyFill="1" applyBorder="1"/>
    <xf numFmtId="4" fontId="6" fillId="9" borderId="51" xfId="0" applyNumberFormat="1" applyFont="1" applyFill="1" applyBorder="1" applyAlignment="1">
      <alignment horizontal="center"/>
    </xf>
    <xf numFmtId="0" fontId="6" fillId="9" borderId="51" xfId="0" applyFont="1" applyFill="1" applyBorder="1" applyAlignment="1">
      <alignment horizontal="center"/>
    </xf>
    <xf numFmtId="0" fontId="6" fillId="9" borderId="49" xfId="0" applyFont="1" applyFill="1" applyBorder="1"/>
    <xf numFmtId="4" fontId="6" fillId="9" borderId="52" xfId="0" applyNumberFormat="1" applyFont="1" applyFill="1" applyBorder="1" applyAlignment="1">
      <alignment horizontal="center"/>
    </xf>
    <xf numFmtId="0" fontId="6" fillId="9" borderId="52" xfId="0" applyFont="1" applyFill="1" applyBorder="1" applyAlignment="1">
      <alignment horizontal="center"/>
    </xf>
    <xf numFmtId="0" fontId="6" fillId="9" borderId="36" xfId="0" applyFont="1" applyFill="1" applyBorder="1"/>
    <xf numFmtId="0" fontId="6" fillId="9" borderId="0" xfId="0" applyFont="1" applyFill="1" applyBorder="1"/>
    <xf numFmtId="0" fontId="6" fillId="9" borderId="35" xfId="0" applyFont="1" applyFill="1" applyBorder="1" applyAlignment="1">
      <alignment horizontal="center"/>
    </xf>
    <xf numFmtId="0" fontId="0" fillId="9" borderId="0" xfId="0" applyFill="1" applyBorder="1"/>
    <xf numFmtId="0" fontId="0" fillId="9" borderId="0" xfId="0" applyFill="1" applyBorder="1" applyAlignment="1">
      <alignment horizontal="center"/>
    </xf>
    <xf numFmtId="0" fontId="0" fillId="9" borderId="37" xfId="0" applyFill="1" applyBorder="1"/>
    <xf numFmtId="0" fontId="0" fillId="9" borderId="37" xfId="0" applyFill="1" applyBorder="1" applyAlignment="1">
      <alignment horizontal="center"/>
    </xf>
    <xf numFmtId="0" fontId="0" fillId="9" borderId="35" xfId="0" applyFill="1" applyBorder="1"/>
    <xf numFmtId="0" fontId="8" fillId="0" borderId="44" xfId="0" applyFont="1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56" xfId="0" applyBorder="1"/>
    <xf numFmtId="0" fontId="0" fillId="0" borderId="55" xfId="0" applyBorder="1"/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horizontal="center"/>
    </xf>
    <xf numFmtId="43" fontId="0" fillId="0" borderId="58" xfId="0" applyNumberFormat="1" applyBorder="1"/>
    <xf numFmtId="43" fontId="0" fillId="0" borderId="58" xfId="0" applyNumberFormat="1" applyBorder="1" applyAlignment="1">
      <alignment horizontal="center"/>
    </xf>
    <xf numFmtId="44" fontId="0" fillId="0" borderId="58" xfId="1" applyFont="1" applyBorder="1"/>
    <xf numFmtId="0" fontId="0" fillId="0" borderId="61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43" fontId="0" fillId="0" borderId="0" xfId="0" applyNumberFormat="1" applyBorder="1" applyAlignment="1">
      <alignment horizontal="center"/>
    </xf>
    <xf numFmtId="164" fontId="0" fillId="0" borderId="54" xfId="0" applyNumberFormat="1" applyBorder="1" applyAlignment="1">
      <alignment horizontal="center" vertical="center"/>
    </xf>
    <xf numFmtId="43" fontId="0" fillId="0" borderId="56" xfId="0" applyNumberFormat="1" applyBorder="1" applyAlignment="1">
      <alignment horizontal="center"/>
    </xf>
    <xf numFmtId="44" fontId="0" fillId="0" borderId="56" xfId="1" applyFont="1" applyBorder="1"/>
    <xf numFmtId="167" fontId="7" fillId="0" borderId="45" xfId="1" applyNumberFormat="1" applyFont="1" applyBorder="1" applyAlignment="1">
      <alignment horizontal="center" vertical="center"/>
    </xf>
    <xf numFmtId="0" fontId="8" fillId="0" borderId="44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5" borderId="45" xfId="0" applyFont="1" applyFill="1" applyBorder="1" applyAlignment="1">
      <alignment horizontal="center"/>
    </xf>
    <xf numFmtId="44" fontId="2" fillId="5" borderId="46" xfId="0" applyNumberFormat="1" applyFont="1" applyFill="1" applyBorder="1"/>
    <xf numFmtId="0" fontId="0" fillId="0" borderId="51" xfId="0" applyBorder="1" applyAlignment="1">
      <alignment vertical="center" wrapText="1"/>
    </xf>
    <xf numFmtId="0" fontId="0" fillId="0" borderId="51" xfId="0" applyBorder="1" applyAlignment="1">
      <alignment vertical="center"/>
    </xf>
    <xf numFmtId="4" fontId="0" fillId="0" borderId="51" xfId="0" applyNumberFormat="1" applyBorder="1" applyAlignment="1">
      <alignment horizontal="center" vertical="center"/>
    </xf>
    <xf numFmtId="44" fontId="0" fillId="0" borderId="51" xfId="1" applyFont="1" applyBorder="1" applyAlignment="1">
      <alignment vertical="center"/>
    </xf>
    <xf numFmtId="0" fontId="2" fillId="5" borderId="44" xfId="0" applyFont="1" applyFill="1" applyBorder="1" applyAlignment="1">
      <alignment horizontal="center"/>
    </xf>
    <xf numFmtId="0" fontId="0" fillId="0" borderId="51" xfId="0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/>
    </xf>
    <xf numFmtId="0" fontId="2" fillId="5" borderId="45" xfId="0" applyFont="1" applyFill="1" applyBorder="1" applyAlignment="1">
      <alignment horizontal="center" vertical="center"/>
    </xf>
    <xf numFmtId="0" fontId="2" fillId="5" borderId="45" xfId="0" applyFont="1" applyFill="1" applyBorder="1" applyAlignment="1">
      <alignment vertical="center"/>
    </xf>
    <xf numFmtId="0" fontId="2" fillId="5" borderId="46" xfId="0" applyFont="1" applyFill="1" applyBorder="1" applyAlignment="1">
      <alignment vertical="center"/>
    </xf>
    <xf numFmtId="0" fontId="0" fillId="0" borderId="50" xfId="0" applyBorder="1" applyAlignment="1">
      <alignment horizontal="center" vertical="center"/>
    </xf>
    <xf numFmtId="0" fontId="0" fillId="0" borderId="50" xfId="0" applyBorder="1" applyAlignment="1">
      <alignment vertical="center"/>
    </xf>
    <xf numFmtId="44" fontId="0" fillId="0" borderId="50" xfId="1" applyFont="1" applyBorder="1" applyAlignment="1">
      <alignment vertical="center"/>
    </xf>
    <xf numFmtId="0" fontId="0" fillId="10" borderId="51" xfId="0" applyFill="1" applyBorder="1" applyAlignment="1">
      <alignment horizontal="center" vertical="center"/>
    </xf>
    <xf numFmtId="0" fontId="0" fillId="10" borderId="51" xfId="0" applyFill="1" applyBorder="1" applyAlignment="1">
      <alignment vertical="center"/>
    </xf>
    <xf numFmtId="4" fontId="0" fillId="10" borderId="51" xfId="0" applyNumberFormat="1" applyFill="1" applyBorder="1" applyAlignment="1">
      <alignment horizontal="center" vertical="center"/>
    </xf>
    <xf numFmtId="44" fontId="0" fillId="10" borderId="51" xfId="1" applyFont="1" applyFill="1" applyBorder="1" applyAlignment="1">
      <alignment vertical="center"/>
    </xf>
    <xf numFmtId="0" fontId="0" fillId="0" borderId="62" xfId="0" applyBorder="1" applyAlignment="1">
      <alignment horizontal="center" vertical="center"/>
    </xf>
    <xf numFmtId="0" fontId="0" fillId="0" borderId="62" xfId="0" applyBorder="1" applyAlignment="1">
      <alignment vertical="center"/>
    </xf>
    <xf numFmtId="4" fontId="0" fillId="0" borderId="62" xfId="0" applyNumberForma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4" fontId="11" fillId="0" borderId="1" xfId="0" applyNumberFormat="1" applyFont="1" applyBorder="1" applyAlignment="1">
      <alignment horizontal="right"/>
    </xf>
    <xf numFmtId="0" fontId="10" fillId="0" borderId="1" xfId="0" applyFont="1" applyBorder="1"/>
    <xf numFmtId="0" fontId="10" fillId="0" borderId="0" xfId="0" applyFont="1"/>
    <xf numFmtId="44" fontId="11" fillId="0" borderId="1" xfId="1" applyFont="1" applyBorder="1"/>
    <xf numFmtId="0" fontId="0" fillId="9" borderId="11" xfId="0" applyFill="1" applyBorder="1"/>
    <xf numFmtId="0" fontId="0" fillId="9" borderId="1" xfId="0" applyFill="1" applyBorder="1" applyAlignment="1">
      <alignment horizontal="center"/>
    </xf>
    <xf numFmtId="0" fontId="0" fillId="9" borderId="1" xfId="0" applyFill="1" applyBorder="1"/>
    <xf numFmtId="44" fontId="0" fillId="9" borderId="1" xfId="1" applyFont="1" applyFill="1" applyBorder="1"/>
    <xf numFmtId="44" fontId="0" fillId="9" borderId="12" xfId="0" applyNumberFormat="1" applyFill="1" applyBorder="1"/>
    <xf numFmtId="0" fontId="0" fillId="9" borderId="13" xfId="0" applyFill="1" applyBorder="1"/>
    <xf numFmtId="0" fontId="0" fillId="9" borderId="14" xfId="0" applyFill="1" applyBorder="1" applyAlignment="1">
      <alignment horizontal="center"/>
    </xf>
    <xf numFmtId="0" fontId="0" fillId="9" borderId="14" xfId="0" applyFill="1" applyBorder="1"/>
    <xf numFmtId="44" fontId="0" fillId="9" borderId="14" xfId="1" applyFont="1" applyFill="1" applyBorder="1"/>
    <xf numFmtId="44" fontId="0" fillId="9" borderId="15" xfId="0" applyNumberFormat="1" applyFill="1" applyBorder="1"/>
    <xf numFmtId="44" fontId="2" fillId="0" borderId="0" xfId="1" applyFont="1"/>
    <xf numFmtId="4" fontId="8" fillId="0" borderId="1" xfId="0" applyNumberFormat="1" applyFont="1" applyBorder="1" applyAlignment="1">
      <alignment horizontal="center"/>
    </xf>
    <xf numFmtId="4" fontId="0" fillId="9" borderId="18" xfId="0" applyNumberFormat="1" applyFill="1" applyBorder="1" applyAlignment="1">
      <alignment horizontal="center"/>
    </xf>
    <xf numFmtId="0" fontId="0" fillId="9" borderId="1" xfId="0" applyFill="1" applyBorder="1" applyAlignment="1">
      <alignment horizontal="center" vertical="center"/>
    </xf>
    <xf numFmtId="0" fontId="0" fillId="9" borderId="17" xfId="0" applyFill="1" applyBorder="1"/>
    <xf numFmtId="0" fontId="0" fillId="9" borderId="18" xfId="0" applyFill="1" applyBorder="1" applyAlignment="1">
      <alignment horizontal="center" vertical="center"/>
    </xf>
    <xf numFmtId="44" fontId="0" fillId="9" borderId="18" xfId="1" applyFont="1" applyFill="1" applyBorder="1"/>
    <xf numFmtId="0" fontId="2" fillId="0" borderId="56" xfId="0" applyFont="1" applyBorder="1" applyAlignment="1">
      <alignment horizontal="center"/>
    </xf>
    <xf numFmtId="44" fontId="0" fillId="9" borderId="19" xfId="0" applyNumberFormat="1" applyFill="1" applyBorder="1"/>
    <xf numFmtId="44" fontId="0" fillId="5" borderId="16" xfId="0" applyNumberFormat="1" applyFill="1" applyBorder="1"/>
    <xf numFmtId="0" fontId="2" fillId="0" borderId="56" xfId="0" applyFont="1" applyBorder="1" applyAlignment="1">
      <alignment horizontal="center" vertical="center"/>
    </xf>
    <xf numFmtId="10" fontId="0" fillId="0" borderId="0" xfId="2" applyNumberFormat="1" applyFont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44" fontId="3" fillId="9" borderId="0" xfId="0" applyNumberFormat="1" applyFont="1" applyFill="1" applyBorder="1" applyAlignment="1">
      <alignment horizontal="center"/>
    </xf>
    <xf numFmtId="0" fontId="0" fillId="9" borderId="0" xfId="0" applyFill="1"/>
    <xf numFmtId="168" fontId="2" fillId="0" borderId="58" xfId="0" applyNumberFormat="1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43" fontId="0" fillId="0" borderId="0" xfId="3" applyFont="1" applyAlignment="1">
      <alignment horizontal="center"/>
    </xf>
    <xf numFmtId="43" fontId="0" fillId="0" borderId="64" xfId="3" applyFont="1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44" xfId="0" applyBorder="1" applyAlignment="1">
      <alignment horizontal="center"/>
    </xf>
    <xf numFmtId="43" fontId="0" fillId="0" borderId="46" xfId="3" applyFont="1" applyBorder="1" applyAlignment="1">
      <alignment horizontal="center"/>
    </xf>
    <xf numFmtId="10" fontId="0" fillId="0" borderId="1" xfId="2" applyNumberFormat="1" applyFont="1" applyBorder="1" applyAlignment="1">
      <alignment horizontal="center"/>
    </xf>
    <xf numFmtId="169" fontId="0" fillId="0" borderId="1" xfId="3" applyNumberFormat="1" applyFont="1" applyBorder="1" applyAlignment="1">
      <alignment horizontal="center"/>
    </xf>
    <xf numFmtId="43" fontId="0" fillId="0" borderId="1" xfId="3" applyFont="1" applyBorder="1" applyAlignment="1">
      <alignment horizontal="center"/>
    </xf>
    <xf numFmtId="10" fontId="2" fillId="0" borderId="1" xfId="2" applyNumberFormat="1" applyFont="1" applyBorder="1" applyAlignment="1">
      <alignment horizontal="center"/>
    </xf>
    <xf numFmtId="2" fontId="0" fillId="0" borderId="50" xfId="0" applyNumberFormat="1" applyBorder="1" applyAlignment="1">
      <alignment horizontal="center" vertical="center"/>
    </xf>
    <xf numFmtId="2" fontId="0" fillId="0" borderId="51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15" fillId="12" borderId="24" xfId="0" applyFont="1" applyFill="1" applyBorder="1" applyAlignment="1">
      <alignment horizontal="center"/>
    </xf>
    <xf numFmtId="0" fontId="15" fillId="12" borderId="25" xfId="0" applyFont="1" applyFill="1" applyBorder="1" applyAlignment="1">
      <alignment horizontal="center"/>
    </xf>
    <xf numFmtId="0" fontId="15" fillId="12" borderId="25" xfId="0" applyFont="1" applyFill="1" applyBorder="1" applyAlignment="1">
      <alignment horizontal="center" wrapText="1"/>
    </xf>
    <xf numFmtId="0" fontId="15" fillId="12" borderId="69" xfId="0" applyFont="1" applyFill="1" applyBorder="1" applyAlignment="1">
      <alignment horizontal="center" wrapText="1"/>
    </xf>
    <xf numFmtId="0" fontId="11" fillId="13" borderId="11" xfId="0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0" fillId="13" borderId="1" xfId="0" applyFill="1" applyBorder="1" applyAlignment="1">
      <alignment horizontal="center"/>
    </xf>
    <xf numFmtId="0" fontId="0" fillId="13" borderId="1" xfId="0" applyFill="1" applyBorder="1"/>
    <xf numFmtId="4" fontId="11" fillId="13" borderId="1" xfId="0" applyNumberFormat="1" applyFont="1" applyFill="1" applyBorder="1"/>
    <xf numFmtId="4" fontId="11" fillId="13" borderId="44" xfId="0" applyNumberFormat="1" applyFont="1" applyFill="1" applyBorder="1"/>
    <xf numFmtId="4" fontId="11" fillId="13" borderId="12" xfId="0" applyNumberFormat="1" applyFont="1" applyFill="1" applyBorder="1"/>
    <xf numFmtId="0" fontId="0" fillId="9" borderId="11" xfId="0" applyFill="1" applyBorder="1" applyAlignment="1">
      <alignment horizontal="center"/>
    </xf>
    <xf numFmtId="0" fontId="0" fillId="9" borderId="1" xfId="0" applyFill="1" applyBorder="1" applyAlignment="1">
      <alignment horizontal="left" wrapText="1"/>
    </xf>
    <xf numFmtId="2" fontId="0" fillId="9" borderId="1" xfId="0" applyNumberFormat="1" applyFont="1" applyFill="1" applyBorder="1" applyAlignment="1">
      <alignment horizontal="right"/>
    </xf>
    <xf numFmtId="4" fontId="0" fillId="9" borderId="1" xfId="0" applyNumberFormat="1" applyFill="1" applyBorder="1" applyAlignment="1">
      <alignment horizontal="right"/>
    </xf>
    <xf numFmtId="0" fontId="0" fillId="13" borderId="1" xfId="0" applyFill="1" applyBorder="1" applyAlignment="1">
      <alignment horizontal="right"/>
    </xf>
    <xf numFmtId="4" fontId="11" fillId="13" borderId="1" xfId="0" applyNumberFormat="1" applyFont="1" applyFill="1" applyBorder="1" applyAlignment="1">
      <alignment horizontal="right"/>
    </xf>
    <xf numFmtId="4" fontId="11" fillId="13" borderId="44" xfId="0" applyNumberFormat="1" applyFont="1" applyFill="1" applyBorder="1" applyAlignment="1">
      <alignment horizontal="right"/>
    </xf>
    <xf numFmtId="4" fontId="11" fillId="13" borderId="12" xfId="0" applyNumberFormat="1" applyFont="1" applyFill="1" applyBorder="1" applyAlignment="1">
      <alignment horizontal="right"/>
    </xf>
    <xf numFmtId="4" fontId="0" fillId="9" borderId="1" xfId="0" applyNumberFormat="1" applyFont="1" applyFill="1" applyBorder="1" applyAlignment="1">
      <alignment horizontal="right"/>
    </xf>
    <xf numFmtId="4" fontId="11" fillId="5" borderId="21" xfId="0" applyNumberFormat="1" applyFont="1" applyFill="1" applyBorder="1" applyAlignment="1">
      <alignment horizontal="right"/>
    </xf>
    <xf numFmtId="0" fontId="2" fillId="9" borderId="31" xfId="0" applyFont="1" applyFill="1" applyBorder="1" applyAlignment="1">
      <alignment horizontal="center" vertical="center"/>
    </xf>
    <xf numFmtId="0" fontId="0" fillId="9" borderId="3" xfId="0" applyFill="1" applyBorder="1" applyAlignment="1">
      <alignment horizontal="center"/>
    </xf>
    <xf numFmtId="0" fontId="0" fillId="9" borderId="3" xfId="0" applyFill="1" applyBorder="1"/>
    <xf numFmtId="0" fontId="0" fillId="9" borderId="32" xfId="0" applyFill="1" applyBorder="1"/>
    <xf numFmtId="0" fontId="2" fillId="9" borderId="3" xfId="0" applyFont="1" applyFill="1" applyBorder="1" applyAlignment="1">
      <alignment horizontal="right"/>
    </xf>
    <xf numFmtId="4" fontId="11" fillId="9" borderId="3" xfId="0" applyNumberFormat="1" applyFont="1" applyFill="1" applyBorder="1" applyAlignment="1">
      <alignment horizontal="right"/>
    </xf>
    <xf numFmtId="4" fontId="11" fillId="9" borderId="33" xfId="0" applyNumberFormat="1" applyFont="1" applyFill="1" applyBorder="1" applyAlignment="1">
      <alignment horizontal="right"/>
    </xf>
    <xf numFmtId="0" fontId="2" fillId="9" borderId="36" xfId="0" applyFont="1" applyFill="1" applyBorder="1" applyAlignment="1">
      <alignment horizontal="center" vertical="center"/>
    </xf>
    <xf numFmtId="0" fontId="2" fillId="9" borderId="37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3" borderId="34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36" xfId="0" applyFont="1" applyFill="1" applyBorder="1" applyAlignment="1">
      <alignment horizontal="center"/>
    </xf>
    <xf numFmtId="0" fontId="2" fillId="3" borderId="37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44" fontId="3" fillId="4" borderId="2" xfId="0" applyNumberFormat="1" applyFont="1" applyFill="1" applyBorder="1" applyAlignment="1">
      <alignment horizontal="center"/>
    </xf>
    <xf numFmtId="44" fontId="3" fillId="4" borderId="4" xfId="0" applyNumberFormat="1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0" fontId="8" fillId="0" borderId="44" xfId="0" applyFont="1" applyBorder="1" applyAlignment="1">
      <alignment horizontal="center"/>
    </xf>
    <xf numFmtId="0" fontId="8" fillId="0" borderId="45" xfId="0" applyFont="1" applyBorder="1" applyAlignment="1">
      <alignment horizontal="center"/>
    </xf>
    <xf numFmtId="0" fontId="8" fillId="0" borderId="46" xfId="0" applyFont="1" applyBorder="1" applyAlignment="1">
      <alignment horizontal="center"/>
    </xf>
    <xf numFmtId="164" fontId="2" fillId="0" borderId="44" xfId="0" applyNumberFormat="1" applyFont="1" applyBorder="1" applyAlignment="1">
      <alignment horizontal="center"/>
    </xf>
    <xf numFmtId="164" fontId="2" fillId="0" borderId="46" xfId="0" applyNumberFormat="1" applyFont="1" applyBorder="1" applyAlignment="1">
      <alignment horizontal="center"/>
    </xf>
    <xf numFmtId="0" fontId="2" fillId="9" borderId="2" xfId="0" applyFont="1" applyFill="1" applyBorder="1" applyAlignment="1">
      <alignment horizontal="right" vertical="center" wrapText="1"/>
    </xf>
    <xf numFmtId="0" fontId="2" fillId="9" borderId="3" xfId="0" applyFont="1" applyFill="1" applyBorder="1" applyAlignment="1">
      <alignment horizontal="right" vertical="center"/>
    </xf>
    <xf numFmtId="0" fontId="2" fillId="9" borderId="4" xfId="0" applyFont="1" applyFill="1" applyBorder="1" applyAlignment="1">
      <alignment horizontal="right" vertic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32" xfId="0" applyFont="1" applyFill="1" applyBorder="1" applyAlignment="1">
      <alignment horizontal="center" vertical="center"/>
    </xf>
    <xf numFmtId="0" fontId="12" fillId="11" borderId="56" xfId="0" applyFont="1" applyFill="1" applyBorder="1" applyAlignment="1">
      <alignment horizontal="center"/>
    </xf>
    <xf numFmtId="164" fontId="2" fillId="0" borderId="59" xfId="0" applyNumberFormat="1" applyFont="1" applyBorder="1" applyAlignment="1">
      <alignment horizontal="center"/>
    </xf>
    <xf numFmtId="164" fontId="2" fillId="0" borderId="6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23" xfId="0" applyBorder="1" applyAlignment="1">
      <alignment horizontal="center"/>
    </xf>
    <xf numFmtId="0" fontId="14" fillId="9" borderId="65" xfId="0" applyFont="1" applyFill="1" applyBorder="1" applyAlignment="1">
      <alignment horizontal="center" vertical="center"/>
    </xf>
    <xf numFmtId="0" fontId="14" fillId="9" borderId="66" xfId="0" applyFont="1" applyFill="1" applyBorder="1" applyAlignment="1">
      <alignment horizontal="center" vertical="center"/>
    </xf>
    <xf numFmtId="0" fontId="14" fillId="9" borderId="67" xfId="0" applyFont="1" applyFill="1" applyBorder="1" applyAlignment="1">
      <alignment horizontal="center" vertical="center"/>
    </xf>
    <xf numFmtId="0" fontId="13" fillId="9" borderId="68" xfId="0" applyFont="1" applyFill="1" applyBorder="1" applyAlignment="1">
      <alignment horizontal="left" wrapText="1"/>
    </xf>
    <xf numFmtId="0" fontId="13" fillId="9" borderId="45" xfId="0" applyFont="1" applyFill="1" applyBorder="1" applyAlignment="1">
      <alignment horizontal="left" wrapText="1"/>
    </xf>
    <xf numFmtId="0" fontId="13" fillId="9" borderId="45" xfId="0" applyFont="1" applyFill="1" applyBorder="1" applyAlignment="1">
      <alignment horizontal="left"/>
    </xf>
    <xf numFmtId="0" fontId="13" fillId="9" borderId="53" xfId="0" applyFont="1" applyFill="1" applyBorder="1" applyAlignment="1">
      <alignment horizontal="left"/>
    </xf>
    <xf numFmtId="0" fontId="13" fillId="9" borderId="68" xfId="0" applyFont="1" applyFill="1" applyBorder="1" applyAlignment="1">
      <alignment horizontal="left"/>
    </xf>
    <xf numFmtId="0" fontId="13" fillId="9" borderId="46" xfId="0" applyFont="1" applyFill="1" applyBorder="1" applyAlignment="1">
      <alignment horizontal="left"/>
    </xf>
    <xf numFmtId="0" fontId="13" fillId="9" borderId="44" xfId="0" applyFont="1" applyFill="1" applyBorder="1" applyAlignment="1">
      <alignment horizontal="left"/>
    </xf>
    <xf numFmtId="0" fontId="2" fillId="0" borderId="70" xfId="0" applyFont="1" applyBorder="1" applyAlignment="1">
      <alignment horizontal="center" vertical="center"/>
    </xf>
    <xf numFmtId="0" fontId="0" fillId="0" borderId="71" xfId="0" applyBorder="1"/>
    <xf numFmtId="0" fontId="0" fillId="0" borderId="72" xfId="0" applyBorder="1"/>
    <xf numFmtId="0" fontId="2" fillId="5" borderId="73" xfId="0" applyFont="1" applyFill="1" applyBorder="1" applyAlignment="1">
      <alignment horizontal="right"/>
    </xf>
    <xf numFmtId="0" fontId="2" fillId="5" borderId="74" xfId="0" applyFont="1" applyFill="1" applyBorder="1" applyAlignment="1">
      <alignment horizontal="right"/>
    </xf>
    <xf numFmtId="0" fontId="2" fillId="9" borderId="34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2" fillId="9" borderId="35" xfId="0" applyFont="1" applyFill="1" applyBorder="1" applyAlignment="1">
      <alignment horizontal="center"/>
    </xf>
    <xf numFmtId="0" fontId="2" fillId="9" borderId="34" xfId="0" applyFont="1" applyFill="1" applyBorder="1" applyAlignment="1">
      <alignment horizontal="center" vertical="center"/>
    </xf>
    <xf numFmtId="0" fontId="2" fillId="9" borderId="0" xfId="0" applyFont="1" applyFill="1" applyBorder="1" applyAlignment="1">
      <alignment horizontal="center" vertical="center"/>
    </xf>
    <xf numFmtId="0" fontId="2" fillId="9" borderId="35" xfId="0" applyFont="1" applyFill="1" applyBorder="1" applyAlignment="1">
      <alignment horizontal="center" vertical="center"/>
    </xf>
    <xf numFmtId="0" fontId="2" fillId="9" borderId="37" xfId="0" applyFont="1" applyFill="1" applyBorder="1" applyAlignment="1">
      <alignment horizontal="center" vertical="center"/>
    </xf>
    <xf numFmtId="0" fontId="2" fillId="9" borderId="23" xfId="0" applyFont="1" applyFill="1" applyBorder="1" applyAlignment="1">
      <alignment horizontal="center" vertical="center"/>
    </xf>
    <xf numFmtId="0" fontId="0" fillId="0" borderId="44" xfId="0" applyBorder="1" applyAlignment="1">
      <alignment horizontal="center"/>
    </xf>
    <xf numFmtId="0" fontId="0" fillId="0" borderId="46" xfId="0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1" xfId="0" applyBorder="1" applyAlignment="1">
      <alignment horizontal="center"/>
    </xf>
    <xf numFmtId="0" fontId="4" fillId="5" borderId="8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8" fontId="6" fillId="0" borderId="18" xfId="0" applyNumberFormat="1" applyFont="1" applyBorder="1" applyAlignment="1">
      <alignment horizontal="center" vertical="center"/>
    </xf>
    <xf numFmtId="8" fontId="6" fillId="0" borderId="40" xfId="0" applyNumberFormat="1" applyFont="1" applyBorder="1" applyAlignment="1">
      <alignment horizontal="center" vertical="center"/>
    </xf>
    <xf numFmtId="8" fontId="6" fillId="0" borderId="19" xfId="0" applyNumberFormat="1" applyFont="1" applyBorder="1" applyAlignment="1">
      <alignment horizontal="center" vertical="center"/>
    </xf>
    <xf numFmtId="8" fontId="6" fillId="0" borderId="41" xfId="0" applyNumberFormat="1" applyFont="1" applyBorder="1" applyAlignment="1">
      <alignment horizontal="center" vertical="center"/>
    </xf>
    <xf numFmtId="0" fontId="2" fillId="9" borderId="39" xfId="0" applyFont="1" applyFill="1" applyBorder="1" applyAlignment="1">
      <alignment horizontal="left" vertical="top" wrapText="1"/>
    </xf>
    <xf numFmtId="0" fontId="2" fillId="9" borderId="38" xfId="0" applyFont="1" applyFill="1" applyBorder="1" applyAlignment="1">
      <alignment horizontal="left" vertical="top" wrapText="1"/>
    </xf>
    <xf numFmtId="0" fontId="2" fillId="9" borderId="22" xfId="0" applyFont="1" applyFill="1" applyBorder="1" applyAlignment="1">
      <alignment horizontal="left" vertical="top" wrapText="1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</cellXfs>
  <cellStyles count="4">
    <cellStyle name="Moeda" xfId="1" builtinId="4"/>
    <cellStyle name="Normal" xfId="0" builtinId="0"/>
    <cellStyle name="Porcentagem" xfId="2" builtinId="5"/>
    <cellStyle name="Separador de milhares" xfId="3" builtinId="3"/>
  </cellStyles>
  <dxfs count="0"/>
  <tableStyles count="0" defaultTableStyle="TableStyleMedium2" defaultPivotStyle="PivotStyleLight16"/>
  <colors>
    <mruColors>
      <color rgb="FFFFFF99"/>
      <color rgb="FF0000FF"/>
      <color rgb="FF66FFFF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</xdr:rowOff>
    </xdr:from>
    <xdr:to>
      <xdr:col>1</xdr:col>
      <xdr:colOff>57149</xdr:colOff>
      <xdr:row>1</xdr:row>
      <xdr:rowOff>180975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4"/>
          <a:ext cx="2095499" cy="7239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</xdr:rowOff>
    </xdr:from>
    <xdr:to>
      <xdr:col>1</xdr:col>
      <xdr:colOff>57149</xdr:colOff>
      <xdr:row>1</xdr:row>
      <xdr:rowOff>180975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4"/>
          <a:ext cx="2095499" cy="7239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9524</xdr:rowOff>
    </xdr:from>
    <xdr:to>
      <xdr:col>1</xdr:col>
      <xdr:colOff>57149</xdr:colOff>
      <xdr:row>1</xdr:row>
      <xdr:rowOff>180975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4"/>
          <a:ext cx="2095499" cy="7239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</xdr:rowOff>
    </xdr:from>
    <xdr:to>
      <xdr:col>1</xdr:col>
      <xdr:colOff>57149</xdr:colOff>
      <xdr:row>1</xdr:row>
      <xdr:rowOff>180975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4"/>
          <a:ext cx="2095499" cy="7239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9524</xdr:rowOff>
    </xdr:from>
    <xdr:to>
      <xdr:col>1</xdr:col>
      <xdr:colOff>57149</xdr:colOff>
      <xdr:row>1</xdr:row>
      <xdr:rowOff>180975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4"/>
          <a:ext cx="2095499" cy="7239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</xdr:rowOff>
    </xdr:from>
    <xdr:to>
      <xdr:col>1</xdr:col>
      <xdr:colOff>57149</xdr:colOff>
      <xdr:row>1</xdr:row>
      <xdr:rowOff>180975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4"/>
          <a:ext cx="2095499" cy="7239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9524</xdr:rowOff>
    </xdr:from>
    <xdr:to>
      <xdr:col>1</xdr:col>
      <xdr:colOff>57149</xdr:colOff>
      <xdr:row>1</xdr:row>
      <xdr:rowOff>180975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4"/>
          <a:ext cx="2095499" cy="7239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361949</xdr:colOff>
      <xdr:row>0</xdr:row>
      <xdr:rowOff>542925</xdr:rowOff>
    </xdr:to>
    <xdr:pic>
      <xdr:nvPicPr>
        <xdr:cNvPr id="3" name="Imagem 2" descr="Descrição: C:\Users\Wilder\Desktop\image001 (2).png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625"/>
          <a:ext cx="2514599" cy="495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361949</xdr:colOff>
      <xdr:row>0</xdr:row>
      <xdr:rowOff>542925</xdr:rowOff>
    </xdr:to>
    <xdr:pic>
      <xdr:nvPicPr>
        <xdr:cNvPr id="2" name="Imagem 1" descr="Descrição: C:\Users\Wilder\Desktop\image001 (2).pn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625"/>
          <a:ext cx="2514599" cy="495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19048</xdr:colOff>
      <xdr:row>0</xdr:row>
      <xdr:rowOff>0</xdr:rowOff>
    </xdr:from>
    <xdr:to>
      <xdr:col>9</xdr:col>
      <xdr:colOff>444500</xdr:colOff>
      <xdr:row>1</xdr:row>
      <xdr:rowOff>0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48" y="0"/>
          <a:ext cx="9998077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25</xdr:row>
      <xdr:rowOff>0</xdr:rowOff>
    </xdr:from>
    <xdr:to>
      <xdr:col>9</xdr:col>
      <xdr:colOff>469900</xdr:colOff>
      <xdr:row>30</xdr:row>
      <xdr:rowOff>161925</xdr:rowOff>
    </xdr:to>
    <xdr:pic>
      <xdr:nvPicPr>
        <xdr:cNvPr id="3" name="Imagem 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59997975"/>
          <a:ext cx="100330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84"/>
  <sheetViews>
    <sheetView view="pageBreakPreview" topLeftCell="A4" zoomScaleSheetLayoutView="100" workbookViewId="0">
      <selection sqref="A1:G1"/>
    </sheetView>
  </sheetViews>
  <sheetFormatPr defaultRowHeight="15"/>
  <cols>
    <col min="1" max="1" width="30.5703125" customWidth="1"/>
    <col min="2" max="2" width="9.5703125" style="1" bestFit="1" customWidth="1"/>
    <col min="4" max="4" width="15.85546875" style="2" bestFit="1" customWidth="1"/>
    <col min="5" max="5" width="17.28515625" style="2" bestFit="1" customWidth="1"/>
    <col min="6" max="6" width="17.28515625" bestFit="1" customWidth="1"/>
    <col min="7" max="7" width="9" customWidth="1"/>
    <col min="8" max="8" width="14.28515625" bestFit="1" customWidth="1"/>
  </cols>
  <sheetData>
    <row r="1" spans="1:8" ht="43.5" customHeight="1">
      <c r="A1" s="262" t="s">
        <v>100</v>
      </c>
      <c r="B1" s="263"/>
      <c r="C1" s="263"/>
      <c r="D1" s="263"/>
      <c r="E1" s="263"/>
      <c r="F1" s="263"/>
      <c r="G1" s="263"/>
    </row>
    <row r="2" spans="1:8" ht="15.75" thickBot="1">
      <c r="A2" s="264" t="s">
        <v>30</v>
      </c>
      <c r="B2" s="265"/>
      <c r="C2" s="265"/>
      <c r="D2" s="265"/>
      <c r="E2" s="265"/>
      <c r="F2" s="265"/>
      <c r="G2" s="265"/>
    </row>
    <row r="3" spans="1:8" ht="30.75" thickBot="1">
      <c r="A3" s="29" t="s">
        <v>0</v>
      </c>
      <c r="B3" s="30" t="s">
        <v>1</v>
      </c>
      <c r="C3" s="31" t="s">
        <v>35</v>
      </c>
      <c r="D3" s="32" t="s">
        <v>11</v>
      </c>
      <c r="E3" s="32" t="s">
        <v>12</v>
      </c>
      <c r="F3" s="33" t="s">
        <v>13</v>
      </c>
      <c r="G3" s="85">
        <f>1+B80</f>
        <v>1.31</v>
      </c>
    </row>
    <row r="4" spans="1:8">
      <c r="A4" s="10" t="s">
        <v>27</v>
      </c>
      <c r="B4" s="11">
        <v>0</v>
      </c>
      <c r="C4" s="12">
        <v>0</v>
      </c>
      <c r="D4" s="13">
        <v>88</v>
      </c>
      <c r="E4" s="6">
        <f t="shared" ref="E4:E17" si="0">B4*D4*C4</f>
        <v>0</v>
      </c>
      <c r="F4" s="60">
        <f>E4*$G$3</f>
        <v>0</v>
      </c>
    </row>
    <row r="5" spans="1:8">
      <c r="A5" s="52" t="s">
        <v>43</v>
      </c>
      <c r="B5" s="53">
        <v>0</v>
      </c>
      <c r="C5" s="54">
        <v>0</v>
      </c>
      <c r="D5" s="55">
        <v>90</v>
      </c>
      <c r="E5" s="6">
        <f t="shared" si="0"/>
        <v>0</v>
      </c>
      <c r="F5" s="15">
        <f>E5*$G$3</f>
        <v>0</v>
      </c>
    </row>
    <row r="6" spans="1:8">
      <c r="A6" s="14" t="s">
        <v>28</v>
      </c>
      <c r="B6" s="7">
        <v>0</v>
      </c>
      <c r="C6" s="8">
        <v>0</v>
      </c>
      <c r="D6" s="9">
        <v>56</v>
      </c>
      <c r="E6" s="6">
        <f t="shared" si="0"/>
        <v>0</v>
      </c>
      <c r="F6" s="15">
        <f t="shared" ref="F6:F18" si="1">E6*$G$3</f>
        <v>0</v>
      </c>
    </row>
    <row r="7" spans="1:8">
      <c r="A7" s="14" t="s">
        <v>21</v>
      </c>
      <c r="B7" s="7">
        <v>0</v>
      </c>
      <c r="C7" s="4">
        <v>0</v>
      </c>
      <c r="D7" s="9">
        <v>95</v>
      </c>
      <c r="E7" s="6">
        <f t="shared" si="0"/>
        <v>0</v>
      </c>
      <c r="F7" s="15">
        <f t="shared" si="1"/>
        <v>0</v>
      </c>
    </row>
    <row r="8" spans="1:8">
      <c r="A8" s="14" t="s">
        <v>22</v>
      </c>
      <c r="B8" s="7">
        <v>0</v>
      </c>
      <c r="C8" s="4">
        <v>0</v>
      </c>
      <c r="D8" s="9">
        <v>53</v>
      </c>
      <c r="E8" s="6">
        <f t="shared" si="0"/>
        <v>0</v>
      </c>
      <c r="F8" s="15">
        <f t="shared" si="1"/>
        <v>0</v>
      </c>
    </row>
    <row r="9" spans="1:8">
      <c r="A9" s="14" t="s">
        <v>36</v>
      </c>
      <c r="B9" s="7">
        <v>0</v>
      </c>
      <c r="C9" s="4">
        <v>0</v>
      </c>
      <c r="D9" s="9">
        <v>53</v>
      </c>
      <c r="E9" s="6">
        <f t="shared" si="0"/>
        <v>0</v>
      </c>
      <c r="F9" s="15">
        <f t="shared" si="1"/>
        <v>0</v>
      </c>
    </row>
    <row r="10" spans="1:8">
      <c r="A10" s="14" t="s">
        <v>23</v>
      </c>
      <c r="B10" s="7">
        <v>0</v>
      </c>
      <c r="C10" s="4">
        <v>0</v>
      </c>
      <c r="D10" s="9">
        <v>40</v>
      </c>
      <c r="E10" s="6">
        <f t="shared" si="0"/>
        <v>0</v>
      </c>
      <c r="F10" s="15">
        <f t="shared" si="1"/>
        <v>0</v>
      </c>
    </row>
    <row r="11" spans="1:8">
      <c r="A11" s="16" t="s">
        <v>14</v>
      </c>
      <c r="B11" s="5">
        <v>0</v>
      </c>
      <c r="C11" s="4">
        <v>0</v>
      </c>
      <c r="D11" s="6">
        <v>110</v>
      </c>
      <c r="E11" s="6">
        <f t="shared" si="0"/>
        <v>0</v>
      </c>
      <c r="F11" s="15">
        <f t="shared" si="1"/>
        <v>0</v>
      </c>
    </row>
    <row r="12" spans="1:8">
      <c r="A12" s="16" t="s">
        <v>37</v>
      </c>
      <c r="B12" s="5">
        <v>0</v>
      </c>
      <c r="C12" s="4">
        <v>0</v>
      </c>
      <c r="D12" s="6">
        <v>53</v>
      </c>
      <c r="E12" s="6">
        <f t="shared" si="0"/>
        <v>0</v>
      </c>
      <c r="F12" s="15">
        <f t="shared" si="1"/>
        <v>0</v>
      </c>
      <c r="H12" t="s">
        <v>51</v>
      </c>
    </row>
    <row r="13" spans="1:8">
      <c r="A13" s="16" t="s">
        <v>15</v>
      </c>
      <c r="B13" s="5">
        <v>0</v>
      </c>
      <c r="C13" s="4">
        <v>0</v>
      </c>
      <c r="D13" s="6">
        <v>70</v>
      </c>
      <c r="E13" s="6">
        <f t="shared" si="0"/>
        <v>0</v>
      </c>
      <c r="F13" s="15">
        <f t="shared" si="1"/>
        <v>0</v>
      </c>
    </row>
    <row r="14" spans="1:8">
      <c r="A14" s="16" t="s">
        <v>41</v>
      </c>
      <c r="B14" s="5">
        <v>0</v>
      </c>
      <c r="C14" s="4">
        <v>0</v>
      </c>
      <c r="D14" s="6">
        <v>50</v>
      </c>
      <c r="E14" s="6">
        <f>B14*D14*C14</f>
        <v>0</v>
      </c>
      <c r="F14" s="15">
        <f t="shared" si="1"/>
        <v>0</v>
      </c>
      <c r="G14" s="49"/>
    </row>
    <row r="15" spans="1:8">
      <c r="A15" s="16" t="s">
        <v>9</v>
      </c>
      <c r="B15" s="5">
        <v>0</v>
      </c>
      <c r="C15" s="4">
        <v>0</v>
      </c>
      <c r="D15" s="6">
        <v>4.5</v>
      </c>
      <c r="E15" s="6">
        <f t="shared" si="0"/>
        <v>0</v>
      </c>
      <c r="F15" s="17">
        <f t="shared" si="1"/>
        <v>0</v>
      </c>
      <c r="H15" t="s">
        <v>51</v>
      </c>
    </row>
    <row r="16" spans="1:8">
      <c r="A16" s="16" t="s">
        <v>10</v>
      </c>
      <c r="B16" s="5">
        <v>0</v>
      </c>
      <c r="C16" s="4">
        <v>0</v>
      </c>
      <c r="D16" s="6">
        <v>4.5</v>
      </c>
      <c r="E16" s="6">
        <f t="shared" si="0"/>
        <v>0</v>
      </c>
      <c r="F16" s="17">
        <f t="shared" si="1"/>
        <v>0</v>
      </c>
    </row>
    <row r="17" spans="1:7" ht="15.75" thickBot="1">
      <c r="A17" s="34" t="s">
        <v>20</v>
      </c>
      <c r="B17" s="35">
        <v>0</v>
      </c>
      <c r="C17" s="36">
        <v>0</v>
      </c>
      <c r="D17" s="37">
        <v>4.5</v>
      </c>
      <c r="E17" s="6">
        <f t="shared" si="0"/>
        <v>0</v>
      </c>
      <c r="F17" s="39">
        <f t="shared" si="1"/>
        <v>0</v>
      </c>
    </row>
    <row r="18" spans="1:7" ht="15.75" thickBot="1">
      <c r="A18" s="18" t="s">
        <v>79</v>
      </c>
      <c r="B18" s="19">
        <v>0</v>
      </c>
      <c r="C18" s="20">
        <v>0</v>
      </c>
      <c r="D18" s="21">
        <v>0</v>
      </c>
      <c r="E18" s="21">
        <f>D18</f>
        <v>0</v>
      </c>
      <c r="F18" s="22">
        <f t="shared" si="1"/>
        <v>0</v>
      </c>
      <c r="G18" s="61" t="s">
        <v>42</v>
      </c>
    </row>
    <row r="19" spans="1:7" ht="15.75" thickBot="1">
      <c r="A19" s="260"/>
      <c r="B19" s="260"/>
      <c r="C19" s="260"/>
      <c r="D19" s="260"/>
      <c r="E19" s="261"/>
      <c r="F19" s="88">
        <f>SUM(F4:F18)</f>
        <v>0</v>
      </c>
    </row>
    <row r="20" spans="1:7" ht="5.25" customHeight="1" thickBot="1">
      <c r="A20" s="266"/>
      <c r="B20" s="260"/>
      <c r="C20" s="260"/>
      <c r="D20" s="260"/>
      <c r="E20" s="260"/>
      <c r="F20" s="261"/>
    </row>
    <row r="21" spans="1:7" ht="15.75" thickBot="1">
      <c r="A21" s="267" t="s">
        <v>31</v>
      </c>
      <c r="B21" s="268"/>
      <c r="C21" s="268"/>
      <c r="D21" s="268"/>
      <c r="E21" s="268"/>
      <c r="F21" s="269"/>
    </row>
    <row r="22" spans="1:7">
      <c r="A22" s="23" t="s">
        <v>29</v>
      </c>
      <c r="B22" s="24">
        <f t="shared" ref="B22:C32" si="2">B4</f>
        <v>0</v>
      </c>
      <c r="C22" s="25">
        <f t="shared" si="2"/>
        <v>0</v>
      </c>
      <c r="D22" s="59">
        <f>(3000*2.6)/220</f>
        <v>35.454545454545453</v>
      </c>
      <c r="E22" s="6">
        <f t="shared" ref="E22:E31" si="3">B22*D22*C22</f>
        <v>0</v>
      </c>
      <c r="F22" s="60">
        <f t="shared" ref="F22:F48" si="4">E22*$G$3</f>
        <v>0</v>
      </c>
    </row>
    <row r="23" spans="1:7">
      <c r="A23" s="56" t="s">
        <v>44</v>
      </c>
      <c r="B23" s="57">
        <f t="shared" si="2"/>
        <v>0</v>
      </c>
      <c r="C23" s="58">
        <f t="shared" si="2"/>
        <v>0</v>
      </c>
      <c r="D23" s="6">
        <f>(3000*2.6)/220</f>
        <v>35.454545454545453</v>
      </c>
      <c r="E23" s="6">
        <f t="shared" si="3"/>
        <v>0</v>
      </c>
      <c r="F23" s="15">
        <f t="shared" si="4"/>
        <v>0</v>
      </c>
    </row>
    <row r="24" spans="1:7">
      <c r="A24" s="16" t="s">
        <v>34</v>
      </c>
      <c r="B24" s="5">
        <f t="shared" si="2"/>
        <v>0</v>
      </c>
      <c r="C24" s="4">
        <f t="shared" si="2"/>
        <v>0</v>
      </c>
      <c r="D24" s="6">
        <f>(1800*2.6)/220</f>
        <v>21.272727272727273</v>
      </c>
      <c r="E24" s="6">
        <f t="shared" si="3"/>
        <v>0</v>
      </c>
      <c r="F24" s="15">
        <f t="shared" si="4"/>
        <v>0</v>
      </c>
    </row>
    <row r="25" spans="1:7">
      <c r="A25" s="14" t="s">
        <v>24</v>
      </c>
      <c r="B25" s="7">
        <f t="shared" si="2"/>
        <v>0</v>
      </c>
      <c r="C25" s="4">
        <f t="shared" si="2"/>
        <v>0</v>
      </c>
      <c r="D25" s="6">
        <f>(3300*2.6)/220</f>
        <v>39</v>
      </c>
      <c r="E25" s="6">
        <f t="shared" si="3"/>
        <v>0</v>
      </c>
      <c r="F25" s="15">
        <f t="shared" si="4"/>
        <v>0</v>
      </c>
    </row>
    <row r="26" spans="1:7">
      <c r="A26" s="14" t="s">
        <v>25</v>
      </c>
      <c r="B26" s="7">
        <f t="shared" si="2"/>
        <v>0</v>
      </c>
      <c r="C26" s="4">
        <f t="shared" si="2"/>
        <v>0</v>
      </c>
      <c r="D26" s="6">
        <f>(1500*2.6)/220</f>
        <v>17.727272727272727</v>
      </c>
      <c r="E26" s="6">
        <f t="shared" si="3"/>
        <v>0</v>
      </c>
      <c r="F26" s="15">
        <f t="shared" si="4"/>
        <v>0</v>
      </c>
    </row>
    <row r="27" spans="1:7">
      <c r="A27" s="14" t="s">
        <v>38</v>
      </c>
      <c r="B27" s="7">
        <f t="shared" si="2"/>
        <v>0</v>
      </c>
      <c r="C27" s="4">
        <f t="shared" si="2"/>
        <v>0</v>
      </c>
      <c r="D27" s="6">
        <f>(1500*2.6)/220</f>
        <v>17.727272727272727</v>
      </c>
      <c r="E27" s="6">
        <f t="shared" si="3"/>
        <v>0</v>
      </c>
      <c r="F27" s="15">
        <f t="shared" si="4"/>
        <v>0</v>
      </c>
    </row>
    <row r="28" spans="1:7">
      <c r="A28" s="14" t="s">
        <v>26</v>
      </c>
      <c r="B28" s="7">
        <f t="shared" si="2"/>
        <v>0</v>
      </c>
      <c r="C28" s="4">
        <v>0</v>
      </c>
      <c r="D28" s="6">
        <f>(1500*2.6)/220</f>
        <v>17.727272727272727</v>
      </c>
      <c r="E28" s="6">
        <f t="shared" si="3"/>
        <v>0</v>
      </c>
      <c r="F28" s="15">
        <f t="shared" si="4"/>
        <v>0</v>
      </c>
    </row>
    <row r="29" spans="1:7">
      <c r="A29" s="16" t="s">
        <v>16</v>
      </c>
      <c r="B29" s="5">
        <f t="shared" si="2"/>
        <v>0</v>
      </c>
      <c r="C29" s="4">
        <f>C11</f>
        <v>0</v>
      </c>
      <c r="D29" s="6">
        <f>(2000*2.26)/220</f>
        <v>20.545454545454547</v>
      </c>
      <c r="E29" s="6">
        <f t="shared" si="3"/>
        <v>0</v>
      </c>
      <c r="F29" s="15">
        <f t="shared" si="4"/>
        <v>0</v>
      </c>
    </row>
    <row r="30" spans="1:7">
      <c r="A30" s="16" t="s">
        <v>39</v>
      </c>
      <c r="B30" s="5">
        <f t="shared" si="2"/>
        <v>0</v>
      </c>
      <c r="C30" s="4">
        <f>C12</f>
        <v>0</v>
      </c>
      <c r="D30" s="6">
        <f>(1500*2.26)/220</f>
        <v>15.409090909090907</v>
      </c>
      <c r="E30" s="6">
        <f t="shared" si="3"/>
        <v>0</v>
      </c>
      <c r="F30" s="15">
        <f t="shared" si="4"/>
        <v>0</v>
      </c>
    </row>
    <row r="31" spans="1:7">
      <c r="A31" s="16" t="s">
        <v>17</v>
      </c>
      <c r="B31" s="5">
        <f t="shared" si="2"/>
        <v>0</v>
      </c>
      <c r="C31" s="4">
        <f>C13</f>
        <v>0</v>
      </c>
      <c r="D31" s="6">
        <f>(3000*2.26)/220</f>
        <v>30.818181818181813</v>
      </c>
      <c r="E31" s="6">
        <f t="shared" si="3"/>
        <v>0</v>
      </c>
      <c r="F31" s="15">
        <f t="shared" si="4"/>
        <v>0</v>
      </c>
    </row>
    <row r="32" spans="1:7">
      <c r="A32" s="16" t="s">
        <v>45</v>
      </c>
      <c r="B32" s="5">
        <f t="shared" si="2"/>
        <v>0</v>
      </c>
      <c r="C32" s="4">
        <f>C14</f>
        <v>0</v>
      </c>
      <c r="D32" s="6">
        <f>(1500*2.26)/220</f>
        <v>15.409090909090907</v>
      </c>
      <c r="E32" s="6">
        <f>B32*D32*C32</f>
        <v>0</v>
      </c>
      <c r="F32" s="15">
        <f t="shared" si="4"/>
        <v>0</v>
      </c>
    </row>
    <row r="33" spans="1:6">
      <c r="A33" s="16" t="s">
        <v>2</v>
      </c>
      <c r="B33" s="5">
        <f>B17</f>
        <v>0</v>
      </c>
      <c r="C33" s="4">
        <f>C17</f>
        <v>0</v>
      </c>
      <c r="D33" s="6">
        <f>(5000*2.26)/220</f>
        <v>51.363636363636353</v>
      </c>
      <c r="E33" s="6">
        <f t="shared" ref="E33:E48" si="5">B33*D33*C33</f>
        <v>0</v>
      </c>
      <c r="F33" s="15">
        <f t="shared" si="4"/>
        <v>0</v>
      </c>
    </row>
    <row r="34" spans="1:6">
      <c r="A34" s="16" t="s">
        <v>19</v>
      </c>
      <c r="B34" s="5">
        <v>0</v>
      </c>
      <c r="C34" s="4">
        <v>0</v>
      </c>
      <c r="D34" s="6">
        <f>(2500*2.26)/220</f>
        <v>25.681818181818176</v>
      </c>
      <c r="E34" s="6">
        <f t="shared" si="5"/>
        <v>0</v>
      </c>
      <c r="F34" s="15">
        <f t="shared" si="4"/>
        <v>0</v>
      </c>
    </row>
    <row r="35" spans="1:6">
      <c r="A35" s="16" t="s">
        <v>18</v>
      </c>
      <c r="B35" s="5">
        <v>0</v>
      </c>
      <c r="C35" s="4">
        <v>0</v>
      </c>
      <c r="D35" s="6">
        <f>(1800*2.26)/220</f>
        <v>18.490909090909089</v>
      </c>
      <c r="E35" s="6">
        <f t="shared" si="5"/>
        <v>0</v>
      </c>
      <c r="F35" s="15">
        <f t="shared" si="4"/>
        <v>0</v>
      </c>
    </row>
    <row r="36" spans="1:6">
      <c r="A36" s="16" t="s">
        <v>3</v>
      </c>
      <c r="B36" s="5">
        <v>0</v>
      </c>
      <c r="C36" s="4">
        <v>0</v>
      </c>
      <c r="D36" s="6">
        <f>(1200*2.26)/220</f>
        <v>12.327272727272724</v>
      </c>
      <c r="E36" s="6">
        <f t="shared" si="5"/>
        <v>0</v>
      </c>
      <c r="F36" s="15">
        <f t="shared" si="4"/>
        <v>0</v>
      </c>
    </row>
    <row r="37" spans="1:6">
      <c r="A37" s="16" t="s">
        <v>46</v>
      </c>
      <c r="B37" s="5">
        <v>0</v>
      </c>
      <c r="C37" s="4">
        <v>0</v>
      </c>
      <c r="D37" s="6">
        <f>(2000*2.26)/220</f>
        <v>20.545454545454547</v>
      </c>
      <c r="E37" s="6">
        <f t="shared" si="5"/>
        <v>0</v>
      </c>
      <c r="F37" s="15">
        <f t="shared" si="4"/>
        <v>0</v>
      </c>
    </row>
    <row r="38" spans="1:6">
      <c r="A38" s="16" t="s">
        <v>4</v>
      </c>
      <c r="B38" s="5">
        <v>0</v>
      </c>
      <c r="C38" s="4">
        <v>0</v>
      </c>
      <c r="D38" s="6">
        <f>(1500*2.26)/220</f>
        <v>15.409090909090907</v>
      </c>
      <c r="E38" s="6">
        <f t="shared" si="5"/>
        <v>0</v>
      </c>
      <c r="F38" s="15">
        <f t="shared" si="4"/>
        <v>0</v>
      </c>
    </row>
    <row r="39" spans="1:6">
      <c r="A39" s="16" t="s">
        <v>5</v>
      </c>
      <c r="B39" s="5">
        <f>B15</f>
        <v>0</v>
      </c>
      <c r="C39" s="4">
        <f>C15</f>
        <v>0</v>
      </c>
      <c r="D39" s="6">
        <f>(4000*2.26)/220</f>
        <v>41.090909090909093</v>
      </c>
      <c r="E39" s="6">
        <f t="shared" si="5"/>
        <v>0</v>
      </c>
      <c r="F39" s="17">
        <f t="shared" si="4"/>
        <v>0</v>
      </c>
    </row>
    <row r="40" spans="1:6">
      <c r="A40" s="16" t="s">
        <v>6</v>
      </c>
      <c r="B40" s="5">
        <v>0</v>
      </c>
      <c r="C40" s="4">
        <f>C39</f>
        <v>0</v>
      </c>
      <c r="D40" s="6">
        <f>(2400*2.26)/220</f>
        <v>24.654545454545449</v>
      </c>
      <c r="E40" s="6">
        <f>B40*D40*C40</f>
        <v>0</v>
      </c>
      <c r="F40" s="17">
        <f t="shared" si="4"/>
        <v>0</v>
      </c>
    </row>
    <row r="41" spans="1:6">
      <c r="A41" s="16" t="s">
        <v>7</v>
      </c>
      <c r="B41" s="5">
        <f>B16</f>
        <v>0</v>
      </c>
      <c r="C41" s="4">
        <f>C16</f>
        <v>0</v>
      </c>
      <c r="D41" s="6">
        <f>(3500*2.26)/220</f>
        <v>35.954545454545453</v>
      </c>
      <c r="E41" s="6">
        <f t="shared" si="5"/>
        <v>0</v>
      </c>
      <c r="F41" s="17">
        <f>E41*$G$3</f>
        <v>0</v>
      </c>
    </row>
    <row r="42" spans="1:6">
      <c r="A42" s="34" t="s">
        <v>8</v>
      </c>
      <c r="B42" s="35">
        <f>B41</f>
        <v>0</v>
      </c>
      <c r="C42" s="36">
        <f>C41</f>
        <v>0</v>
      </c>
      <c r="D42" s="37">
        <f>(1800*2.26)/220</f>
        <v>18.490909090909089</v>
      </c>
      <c r="E42" s="6">
        <f t="shared" si="5"/>
        <v>0</v>
      </c>
      <c r="F42" s="38">
        <f t="shared" si="4"/>
        <v>0</v>
      </c>
    </row>
    <row r="43" spans="1:6">
      <c r="A43" s="34" t="s">
        <v>99</v>
      </c>
      <c r="B43" s="35">
        <v>0</v>
      </c>
      <c r="C43" s="36">
        <v>0</v>
      </c>
      <c r="D43" s="37">
        <v>22.6</v>
      </c>
      <c r="E43" s="6">
        <f t="shared" si="5"/>
        <v>0</v>
      </c>
      <c r="F43" s="38">
        <f t="shared" si="4"/>
        <v>0</v>
      </c>
    </row>
    <row r="44" spans="1:6">
      <c r="A44" s="16" t="s">
        <v>62</v>
      </c>
      <c r="B44" s="5">
        <v>0</v>
      </c>
      <c r="C44" s="4">
        <v>0</v>
      </c>
      <c r="D44" s="6">
        <v>20</v>
      </c>
      <c r="E44" s="6">
        <f t="shared" si="5"/>
        <v>0</v>
      </c>
      <c r="F44" s="38">
        <f t="shared" si="4"/>
        <v>0</v>
      </c>
    </row>
    <row r="45" spans="1:6">
      <c r="A45" s="16" t="s">
        <v>69</v>
      </c>
      <c r="B45" s="35">
        <v>0</v>
      </c>
      <c r="C45" s="36">
        <v>0</v>
      </c>
      <c r="D45" s="37">
        <v>9.5</v>
      </c>
      <c r="E45" s="6">
        <f t="shared" si="5"/>
        <v>0</v>
      </c>
      <c r="F45" s="38">
        <f t="shared" si="4"/>
        <v>0</v>
      </c>
    </row>
    <row r="46" spans="1:6">
      <c r="A46" s="34" t="s">
        <v>60</v>
      </c>
      <c r="B46" s="35">
        <v>0</v>
      </c>
      <c r="C46" s="36">
        <v>0</v>
      </c>
      <c r="D46" s="37">
        <f>(2200*2.26)/220</f>
        <v>22.599999999999994</v>
      </c>
      <c r="E46" s="6">
        <f t="shared" si="5"/>
        <v>0</v>
      </c>
      <c r="F46" s="38">
        <f t="shared" si="4"/>
        <v>0</v>
      </c>
    </row>
    <row r="47" spans="1:6">
      <c r="A47" s="34" t="s">
        <v>66</v>
      </c>
      <c r="B47" s="35">
        <v>0</v>
      </c>
      <c r="C47" s="36">
        <v>0</v>
      </c>
      <c r="D47" s="6">
        <f>(1200*2.26)/220</f>
        <v>12.327272727272724</v>
      </c>
      <c r="E47" s="6">
        <f t="shared" si="5"/>
        <v>0</v>
      </c>
      <c r="F47" s="38">
        <f t="shared" si="4"/>
        <v>0</v>
      </c>
    </row>
    <row r="48" spans="1:6" ht="15.75" thickBot="1">
      <c r="A48" s="18" t="s">
        <v>65</v>
      </c>
      <c r="B48" s="19">
        <v>0</v>
      </c>
      <c r="C48" s="20">
        <v>0</v>
      </c>
      <c r="D48" s="21">
        <f>(4000*2.26)/220</f>
        <v>41.090909090909093</v>
      </c>
      <c r="E48" s="6">
        <f t="shared" si="5"/>
        <v>0</v>
      </c>
      <c r="F48" s="27">
        <f t="shared" si="4"/>
        <v>0</v>
      </c>
    </row>
    <row r="49" spans="1:7" ht="15.75" thickBot="1">
      <c r="A49" s="260"/>
      <c r="B49" s="260"/>
      <c r="C49" s="260"/>
      <c r="D49" s="260"/>
      <c r="E49" s="261"/>
      <c r="F49" s="88">
        <f>SUM(F22:F48)</f>
        <v>0</v>
      </c>
    </row>
    <row r="50" spans="1:7" ht="4.5" customHeight="1" thickBot="1">
      <c r="A50" s="266"/>
      <c r="B50" s="260"/>
      <c r="C50" s="260"/>
      <c r="D50" s="260"/>
      <c r="E50" s="260"/>
      <c r="F50" s="261"/>
    </row>
    <row r="51" spans="1:7" ht="15.75" thickBot="1">
      <c r="A51" s="267" t="s">
        <v>32</v>
      </c>
      <c r="B51" s="268"/>
      <c r="C51" s="268"/>
      <c r="D51" s="268"/>
      <c r="E51" s="268"/>
      <c r="F51" s="269"/>
    </row>
    <row r="52" spans="1:7">
      <c r="A52" s="23" t="s">
        <v>57</v>
      </c>
      <c r="B52" s="87">
        <v>0</v>
      </c>
      <c r="C52" s="43" t="s">
        <v>40</v>
      </c>
      <c r="D52" s="26">
        <v>250</v>
      </c>
      <c r="E52" s="46">
        <f t="shared" ref="E52:E65" si="6">D52*B52</f>
        <v>0</v>
      </c>
      <c r="F52" s="28">
        <f t="shared" ref="F52:F65" si="7">E52*$G$3</f>
        <v>0</v>
      </c>
    </row>
    <row r="53" spans="1:7">
      <c r="A53" s="16" t="s">
        <v>67</v>
      </c>
      <c r="B53" s="87">
        <v>0</v>
      </c>
      <c r="C53" s="44" t="s">
        <v>64</v>
      </c>
      <c r="D53" s="6">
        <v>195</v>
      </c>
      <c r="E53" s="47">
        <f t="shared" si="6"/>
        <v>0</v>
      </c>
      <c r="F53" s="17">
        <f t="shared" si="7"/>
        <v>0</v>
      </c>
    </row>
    <row r="54" spans="1:7">
      <c r="A54" s="34" t="s">
        <v>68</v>
      </c>
      <c r="B54" s="87">
        <v>0</v>
      </c>
      <c r="C54" s="45" t="s">
        <v>74</v>
      </c>
      <c r="D54" s="37">
        <v>1.8</v>
      </c>
      <c r="E54" s="47">
        <f t="shared" si="6"/>
        <v>0</v>
      </c>
      <c r="F54" s="17">
        <f t="shared" si="7"/>
        <v>0</v>
      </c>
      <c r="G54" s="3"/>
    </row>
    <row r="55" spans="1:7">
      <c r="A55" s="34" t="s">
        <v>73</v>
      </c>
      <c r="B55" s="87">
        <v>0</v>
      </c>
      <c r="C55" s="45" t="s">
        <v>74</v>
      </c>
      <c r="D55" s="37">
        <v>3.6</v>
      </c>
      <c r="E55" s="47">
        <f t="shared" si="6"/>
        <v>0</v>
      </c>
      <c r="F55" s="17">
        <f t="shared" si="7"/>
        <v>0</v>
      </c>
      <c r="G55" s="3"/>
    </row>
    <row r="56" spans="1:7">
      <c r="A56" s="34" t="s">
        <v>80</v>
      </c>
      <c r="B56" s="87">
        <v>0</v>
      </c>
      <c r="C56" s="45" t="s">
        <v>58</v>
      </c>
      <c r="D56" s="37">
        <v>500</v>
      </c>
      <c r="E56" s="47">
        <f t="shared" si="6"/>
        <v>0</v>
      </c>
      <c r="F56" s="17">
        <f t="shared" si="7"/>
        <v>0</v>
      </c>
      <c r="G56" s="3"/>
    </row>
    <row r="57" spans="1:7">
      <c r="A57" s="16" t="s">
        <v>78</v>
      </c>
      <c r="B57" s="87">
        <v>0</v>
      </c>
      <c r="C57" s="44" t="s">
        <v>77</v>
      </c>
      <c r="D57" s="6">
        <v>54</v>
      </c>
      <c r="E57" s="6">
        <f t="shared" si="6"/>
        <v>0</v>
      </c>
      <c r="F57" s="15">
        <f t="shared" si="7"/>
        <v>0</v>
      </c>
    </row>
    <row r="58" spans="1:7">
      <c r="A58" s="16" t="s">
        <v>81</v>
      </c>
      <c r="B58" s="87">
        <v>0</v>
      </c>
      <c r="C58" s="44" t="s">
        <v>59</v>
      </c>
      <c r="D58" s="6">
        <v>550</v>
      </c>
      <c r="E58" s="6">
        <f t="shared" si="6"/>
        <v>0</v>
      </c>
      <c r="F58" s="15">
        <f t="shared" si="7"/>
        <v>0</v>
      </c>
    </row>
    <row r="59" spans="1:7">
      <c r="A59" s="16" t="s">
        <v>83</v>
      </c>
      <c r="B59" s="87">
        <v>0</v>
      </c>
      <c r="C59" s="44" t="s">
        <v>59</v>
      </c>
      <c r="D59" s="6">
        <v>15</v>
      </c>
      <c r="E59" s="6">
        <f t="shared" si="6"/>
        <v>0</v>
      </c>
      <c r="F59" s="15">
        <f t="shared" si="7"/>
        <v>0</v>
      </c>
    </row>
    <row r="60" spans="1:7">
      <c r="A60" s="16" t="s">
        <v>84</v>
      </c>
      <c r="B60" s="87">
        <v>0</v>
      </c>
      <c r="C60" s="44" t="s">
        <v>59</v>
      </c>
      <c r="D60" s="6">
        <v>31.5</v>
      </c>
      <c r="E60" s="6">
        <f t="shared" si="6"/>
        <v>0</v>
      </c>
      <c r="F60" s="15">
        <f t="shared" si="7"/>
        <v>0</v>
      </c>
    </row>
    <row r="61" spans="1:7">
      <c r="A61" s="16" t="s">
        <v>70</v>
      </c>
      <c r="B61" s="87">
        <v>0</v>
      </c>
      <c r="C61" s="44" t="s">
        <v>63</v>
      </c>
      <c r="D61" s="6">
        <v>350</v>
      </c>
      <c r="E61" s="6">
        <f t="shared" si="6"/>
        <v>0</v>
      </c>
      <c r="F61" s="15">
        <f t="shared" si="7"/>
        <v>0</v>
      </c>
    </row>
    <row r="62" spans="1:7">
      <c r="A62" s="16" t="s">
        <v>71</v>
      </c>
      <c r="B62" s="87">
        <v>0</v>
      </c>
      <c r="C62" s="44" t="s">
        <v>58</v>
      </c>
      <c r="D62" s="6">
        <v>125</v>
      </c>
      <c r="E62" s="6">
        <f t="shared" si="6"/>
        <v>0</v>
      </c>
      <c r="F62" s="15">
        <f t="shared" si="7"/>
        <v>0</v>
      </c>
    </row>
    <row r="63" spans="1:7">
      <c r="A63" s="34" t="s">
        <v>72</v>
      </c>
      <c r="B63" s="87">
        <v>0</v>
      </c>
      <c r="C63" s="45" t="s">
        <v>63</v>
      </c>
      <c r="D63" s="37">
        <v>28</v>
      </c>
      <c r="E63" s="37">
        <f t="shared" si="6"/>
        <v>0</v>
      </c>
      <c r="F63" s="39">
        <f t="shared" si="7"/>
        <v>0</v>
      </c>
    </row>
    <row r="64" spans="1:7">
      <c r="A64" s="34" t="s">
        <v>82</v>
      </c>
      <c r="B64" s="87">
        <v>0</v>
      </c>
      <c r="C64" s="45" t="s">
        <v>58</v>
      </c>
      <c r="D64" s="37">
        <v>65</v>
      </c>
      <c r="E64" s="37">
        <f t="shared" si="6"/>
        <v>0</v>
      </c>
      <c r="F64" s="39">
        <f t="shared" si="7"/>
        <v>0</v>
      </c>
    </row>
    <row r="65" spans="1:9" ht="15.75" thickBot="1">
      <c r="A65" s="18" t="s">
        <v>76</v>
      </c>
      <c r="B65" s="87">
        <v>0</v>
      </c>
      <c r="C65" s="86" t="s">
        <v>63</v>
      </c>
      <c r="D65" s="21">
        <v>106</v>
      </c>
      <c r="E65" s="21">
        <f t="shared" si="6"/>
        <v>0</v>
      </c>
      <c r="F65" s="22">
        <f t="shared" si="7"/>
        <v>0</v>
      </c>
    </row>
    <row r="66" spans="1:9" ht="15.75" thickBot="1">
      <c r="A66" s="266"/>
      <c r="B66" s="260"/>
      <c r="C66" s="260"/>
      <c r="D66" s="260"/>
      <c r="E66" s="261"/>
      <c r="F66" s="48">
        <f>SUM(F52:F65)</f>
        <v>0</v>
      </c>
      <c r="G66" s="3"/>
      <c r="H66" s="3"/>
    </row>
    <row r="67" spans="1:9" ht="4.5" customHeight="1" thickBot="1">
      <c r="A67" s="266"/>
      <c r="B67" s="260"/>
      <c r="C67" s="260"/>
      <c r="D67" s="260"/>
      <c r="E67" s="260"/>
      <c r="F67" s="261"/>
      <c r="G67" s="3"/>
      <c r="H67" s="3"/>
    </row>
    <row r="68" spans="1:9" ht="15.75" thickBot="1">
      <c r="A68" s="278" t="s">
        <v>47</v>
      </c>
      <c r="B68" s="279"/>
      <c r="C68" s="279"/>
      <c r="D68" s="279"/>
      <c r="E68" s="280"/>
      <c r="F68" s="63"/>
    </row>
    <row r="69" spans="1:9">
      <c r="A69" s="64" t="s">
        <v>0</v>
      </c>
      <c r="B69" s="65" t="s">
        <v>1</v>
      </c>
      <c r="C69" s="66" t="s">
        <v>49</v>
      </c>
      <c r="D69" s="67" t="s">
        <v>11</v>
      </c>
      <c r="E69" s="65" t="s">
        <v>12</v>
      </c>
      <c r="F69" s="68" t="s">
        <v>13</v>
      </c>
    </row>
    <row r="70" spans="1:9">
      <c r="A70" s="16" t="s">
        <v>75</v>
      </c>
      <c r="B70" s="5">
        <v>0</v>
      </c>
      <c r="C70" s="4">
        <v>0</v>
      </c>
      <c r="D70" s="6">
        <v>18</v>
      </c>
      <c r="E70" s="6">
        <f>B70*C70*D70</f>
        <v>0</v>
      </c>
      <c r="F70" s="15">
        <f t="shared" ref="F70:F71" si="8">E70*$G$3</f>
        <v>0</v>
      </c>
    </row>
    <row r="71" spans="1:9" ht="15.75" thickBot="1">
      <c r="A71" s="40" t="s">
        <v>48</v>
      </c>
      <c r="B71" s="41">
        <v>0</v>
      </c>
      <c r="C71" s="69">
        <v>0</v>
      </c>
      <c r="D71" s="42">
        <v>15</v>
      </c>
      <c r="E71" s="42">
        <f>D71*C71*B71</f>
        <v>0</v>
      </c>
      <c r="F71" s="15">
        <f t="shared" si="8"/>
        <v>0</v>
      </c>
    </row>
    <row r="72" spans="1:9" ht="15.75" thickBot="1">
      <c r="A72" s="260"/>
      <c r="B72" s="260"/>
      <c r="C72" s="260"/>
      <c r="D72" s="260"/>
      <c r="E72" s="261"/>
      <c r="F72" s="89">
        <f>SUM(F70:F71)</f>
        <v>0</v>
      </c>
    </row>
    <row r="73" spans="1:9" ht="4.5" customHeight="1" thickBot="1">
      <c r="A73" s="266"/>
      <c r="B73" s="260"/>
      <c r="C73" s="260"/>
      <c r="D73" s="260"/>
      <c r="E73" s="260"/>
      <c r="F73" s="261"/>
    </row>
    <row r="74" spans="1:9" ht="15.75" thickBot="1">
      <c r="A74" s="270" t="s">
        <v>50</v>
      </c>
      <c r="B74" s="271"/>
      <c r="C74" s="271"/>
      <c r="D74" s="271"/>
      <c r="E74" s="271"/>
      <c r="F74" s="272"/>
      <c r="I74" t="s">
        <v>51</v>
      </c>
    </row>
    <row r="75" spans="1:9">
      <c r="A75" s="70" t="s">
        <v>52</v>
      </c>
      <c r="B75" s="71">
        <v>1.4999999999999999E-2</v>
      </c>
      <c r="C75" s="72"/>
      <c r="D75" s="73"/>
      <c r="E75" s="72"/>
      <c r="F75" s="74"/>
    </row>
    <row r="76" spans="1:9">
      <c r="A76" s="75" t="s">
        <v>53</v>
      </c>
      <c r="B76" s="76">
        <v>1.4999999999999999E-2</v>
      </c>
      <c r="C76" s="50"/>
      <c r="D76" s="51"/>
      <c r="E76" s="50"/>
      <c r="F76" s="77"/>
      <c r="I76" t="s">
        <v>51</v>
      </c>
    </row>
    <row r="77" spans="1:9">
      <c r="A77" s="75" t="s">
        <v>54</v>
      </c>
      <c r="B77" s="76">
        <v>0.03</v>
      </c>
      <c r="C77" s="50"/>
      <c r="D77" s="51"/>
      <c r="E77" s="50"/>
      <c r="F77" s="77"/>
    </row>
    <row r="78" spans="1:9">
      <c r="A78" s="75" t="s">
        <v>55</v>
      </c>
      <c r="B78" s="76">
        <v>7.0000000000000007E-2</v>
      </c>
      <c r="C78" s="50"/>
      <c r="D78" s="51"/>
      <c r="E78" s="50"/>
      <c r="F78" s="77"/>
    </row>
    <row r="79" spans="1:9" ht="15.75" thickBot="1">
      <c r="A79" s="78" t="s">
        <v>56</v>
      </c>
      <c r="B79" s="79">
        <v>0.18</v>
      </c>
      <c r="C79" s="80"/>
      <c r="D79" s="81"/>
      <c r="E79" s="80"/>
      <c r="F79" s="82"/>
    </row>
    <row r="80" spans="1:9" ht="15.75" thickBot="1">
      <c r="A80" s="83" t="s">
        <v>33</v>
      </c>
      <c r="B80" s="84">
        <f>SUM(B75:B79)</f>
        <v>0.31</v>
      </c>
      <c r="E80"/>
    </row>
    <row r="81" spans="1:8" ht="19.5" thickBot="1">
      <c r="A81" s="273" t="s">
        <v>33</v>
      </c>
      <c r="B81" s="274"/>
      <c r="C81" s="274"/>
      <c r="D81" s="275"/>
      <c r="E81" s="276">
        <f>SUM(F66,F49,F19,F72)</f>
        <v>0</v>
      </c>
      <c r="F81" s="277"/>
      <c r="H81" s="62"/>
    </row>
    <row r="84" spans="1:8">
      <c r="F84" s="3"/>
    </row>
  </sheetData>
  <mergeCells count="16">
    <mergeCell ref="A73:F73"/>
    <mergeCell ref="A74:F74"/>
    <mergeCell ref="A81:D81"/>
    <mergeCell ref="E81:F81"/>
    <mergeCell ref="A50:F50"/>
    <mergeCell ref="A51:F51"/>
    <mergeCell ref="A66:E66"/>
    <mergeCell ref="A67:F67"/>
    <mergeCell ref="A68:E68"/>
    <mergeCell ref="A72:E72"/>
    <mergeCell ref="A49:E49"/>
    <mergeCell ref="A1:G1"/>
    <mergeCell ref="A2:G2"/>
    <mergeCell ref="A19:E19"/>
    <mergeCell ref="A20:F20"/>
    <mergeCell ref="A21:F21"/>
  </mergeCells>
  <pageMargins left="0.511811024" right="0.511811024" top="0.78740157499999996" bottom="0.78740157499999996" header="0.31496062000000002" footer="0.31496062000000002"/>
  <pageSetup paperSize="9" scale="56" orientation="portrait" vertic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55"/>
  <sheetViews>
    <sheetView zoomScale="90" zoomScaleNormal="90" workbookViewId="0">
      <selection activeCell="G44" sqref="G44"/>
    </sheetView>
  </sheetViews>
  <sheetFormatPr defaultRowHeight="15"/>
  <cols>
    <col min="1" max="1" width="89.5703125" bestFit="1" customWidth="1"/>
    <col min="2" max="2" width="12.7109375" bestFit="1" customWidth="1"/>
    <col min="3" max="3" width="9.42578125" style="1" bestFit="1" customWidth="1"/>
    <col min="4" max="5" width="16.42578125" bestFit="1" customWidth="1"/>
  </cols>
  <sheetData>
    <row r="1" spans="1:5" ht="33.75" customHeight="1">
      <c r="A1" s="338" t="str">
        <f>'Pavimentação '!A1:G1</f>
        <v xml:space="preserve"> MEMORIAL DE CÁLCULO - POUSO ALEGRE 02 - PAVIMENTAÇÃO
  30/01/2018</v>
      </c>
      <c r="B1" s="339"/>
      <c r="C1" s="339"/>
      <c r="D1" s="339"/>
      <c r="E1" s="340"/>
    </row>
    <row r="2" spans="1:5" s="1" customFormat="1" ht="20.25" customHeight="1">
      <c r="A2" s="122" t="s">
        <v>170</v>
      </c>
      <c r="B2" s="348" t="s">
        <v>172</v>
      </c>
      <c r="C2" s="349"/>
      <c r="D2" s="349"/>
      <c r="E2" s="350"/>
    </row>
    <row r="3" spans="1:5" s="95" customFormat="1" hidden="1">
      <c r="A3" s="90" t="s">
        <v>106</v>
      </c>
      <c r="B3" s="91"/>
      <c r="C3" s="92"/>
      <c r="D3" s="93" t="s">
        <v>107</v>
      </c>
      <c r="E3" s="94">
        <f>SUM(E4:E18)</f>
        <v>0</v>
      </c>
    </row>
    <row r="4" spans="1:5" hidden="1">
      <c r="A4" s="96" t="s">
        <v>108</v>
      </c>
      <c r="B4" s="97">
        <v>1285</v>
      </c>
      <c r="C4" s="98" t="s">
        <v>109</v>
      </c>
      <c r="D4" s="99">
        <v>0</v>
      </c>
      <c r="E4" s="100">
        <f t="shared" ref="E4:E18" si="0">B4*D4</f>
        <v>0</v>
      </c>
    </row>
    <row r="5" spans="1:5" hidden="1">
      <c r="A5" s="96" t="s">
        <v>110</v>
      </c>
      <c r="B5" s="97">
        <v>463</v>
      </c>
      <c r="C5" s="98" t="s">
        <v>109</v>
      </c>
      <c r="D5" s="99">
        <v>0</v>
      </c>
      <c r="E5" s="100">
        <f t="shared" si="0"/>
        <v>0</v>
      </c>
    </row>
    <row r="6" spans="1:5" hidden="1">
      <c r="A6" s="96" t="s">
        <v>111</v>
      </c>
      <c r="B6" s="97">
        <v>110</v>
      </c>
      <c r="C6" s="98" t="s">
        <v>109</v>
      </c>
      <c r="D6" s="99">
        <v>0</v>
      </c>
      <c r="E6" s="100">
        <f t="shared" si="0"/>
        <v>0</v>
      </c>
    </row>
    <row r="7" spans="1:5" hidden="1">
      <c r="A7" s="96" t="s">
        <v>112</v>
      </c>
      <c r="B7" s="97">
        <v>1285</v>
      </c>
      <c r="C7" s="98" t="s">
        <v>109</v>
      </c>
      <c r="D7" s="99">
        <v>0</v>
      </c>
      <c r="E7" s="100">
        <f t="shared" si="0"/>
        <v>0</v>
      </c>
    </row>
    <row r="8" spans="1:5" hidden="1">
      <c r="A8" s="96" t="s">
        <v>113</v>
      </c>
      <c r="B8" s="97">
        <v>463</v>
      </c>
      <c r="C8" s="98" t="s">
        <v>109</v>
      </c>
      <c r="D8" s="99">
        <v>0</v>
      </c>
      <c r="E8" s="100">
        <f t="shared" si="0"/>
        <v>0</v>
      </c>
    </row>
    <row r="9" spans="1:5" hidden="1">
      <c r="A9" s="96" t="s">
        <v>114</v>
      </c>
      <c r="B9" s="97">
        <v>110</v>
      </c>
      <c r="C9" s="98" t="s">
        <v>109</v>
      </c>
      <c r="D9" s="99">
        <v>0</v>
      </c>
      <c r="E9" s="100">
        <f t="shared" si="0"/>
        <v>0</v>
      </c>
    </row>
    <row r="10" spans="1:5" hidden="1">
      <c r="A10" s="96" t="s">
        <v>115</v>
      </c>
      <c r="B10" s="97">
        <v>32</v>
      </c>
      <c r="C10" s="98" t="s">
        <v>116</v>
      </c>
      <c r="D10" s="99">
        <v>0</v>
      </c>
      <c r="E10" s="100">
        <f t="shared" si="0"/>
        <v>0</v>
      </c>
    </row>
    <row r="11" spans="1:5" hidden="1">
      <c r="A11" s="96" t="s">
        <v>117</v>
      </c>
      <c r="B11" s="97">
        <v>32</v>
      </c>
      <c r="C11" s="98" t="s">
        <v>116</v>
      </c>
      <c r="D11" s="99">
        <v>0</v>
      </c>
      <c r="E11" s="100">
        <f t="shared" si="0"/>
        <v>0</v>
      </c>
    </row>
    <row r="12" spans="1:5" hidden="1">
      <c r="A12" s="96" t="s">
        <v>118</v>
      </c>
      <c r="B12" s="97">
        <v>32</v>
      </c>
      <c r="C12" s="98" t="s">
        <v>116</v>
      </c>
      <c r="D12" s="99">
        <v>0</v>
      </c>
      <c r="E12" s="100">
        <f t="shared" si="0"/>
        <v>0</v>
      </c>
    </row>
    <row r="13" spans="1:5" hidden="1">
      <c r="A13" s="96" t="s">
        <v>119</v>
      </c>
      <c r="B13" s="97">
        <v>74</v>
      </c>
      <c r="C13" s="98" t="s">
        <v>120</v>
      </c>
      <c r="D13" s="99">
        <v>0</v>
      </c>
      <c r="E13" s="100">
        <f t="shared" si="0"/>
        <v>0</v>
      </c>
    </row>
    <row r="14" spans="1:5" hidden="1">
      <c r="A14" s="96" t="s">
        <v>121</v>
      </c>
      <c r="B14" s="97">
        <v>74</v>
      </c>
      <c r="C14" s="98" t="s">
        <v>116</v>
      </c>
      <c r="D14" s="99">
        <v>0</v>
      </c>
      <c r="E14" s="100">
        <f t="shared" si="0"/>
        <v>0</v>
      </c>
    </row>
    <row r="15" spans="1:5" hidden="1">
      <c r="A15" s="96" t="s">
        <v>122</v>
      </c>
      <c r="B15" s="97">
        <v>74</v>
      </c>
      <c r="C15" s="98" t="s">
        <v>116</v>
      </c>
      <c r="D15" s="99">
        <v>0</v>
      </c>
      <c r="E15" s="100">
        <f t="shared" si="0"/>
        <v>0</v>
      </c>
    </row>
    <row r="16" spans="1:5" hidden="1">
      <c r="A16" s="96" t="s">
        <v>123</v>
      </c>
      <c r="B16" s="97">
        <v>74</v>
      </c>
      <c r="C16" s="98" t="s">
        <v>116</v>
      </c>
      <c r="D16" s="99">
        <v>0</v>
      </c>
      <c r="E16" s="100">
        <f t="shared" si="0"/>
        <v>0</v>
      </c>
    </row>
    <row r="17" spans="1:5" hidden="1">
      <c r="A17" s="96" t="s">
        <v>124</v>
      </c>
      <c r="B17" s="97">
        <v>2</v>
      </c>
      <c r="C17" s="98" t="s">
        <v>116</v>
      </c>
      <c r="D17" s="99">
        <v>0</v>
      </c>
      <c r="E17" s="100">
        <f t="shared" si="0"/>
        <v>0</v>
      </c>
    </row>
    <row r="18" spans="1:5" hidden="1">
      <c r="A18" s="96" t="s">
        <v>125</v>
      </c>
      <c r="B18" s="97">
        <v>1</v>
      </c>
      <c r="C18" s="98" t="s">
        <v>116</v>
      </c>
      <c r="D18" s="99">
        <v>0</v>
      </c>
      <c r="E18" s="100">
        <f t="shared" si="0"/>
        <v>0</v>
      </c>
    </row>
    <row r="19" spans="1:5" hidden="1">
      <c r="A19" s="90" t="s">
        <v>126</v>
      </c>
      <c r="B19" s="91"/>
      <c r="C19" s="92"/>
      <c r="D19" s="93" t="s">
        <v>107</v>
      </c>
      <c r="E19" s="94">
        <f>SUM(E20:E28)</f>
        <v>0</v>
      </c>
    </row>
    <row r="20" spans="1:5" hidden="1">
      <c r="A20" s="96" t="s">
        <v>127</v>
      </c>
      <c r="B20" s="101">
        <v>3432</v>
      </c>
      <c r="C20" s="98" t="s">
        <v>109</v>
      </c>
      <c r="D20" s="99">
        <v>0</v>
      </c>
      <c r="E20" s="100">
        <f t="shared" ref="E20:E39" si="1">B20*D20</f>
        <v>0</v>
      </c>
    </row>
    <row r="21" spans="1:5" hidden="1">
      <c r="A21" s="96" t="s">
        <v>128</v>
      </c>
      <c r="B21" s="101">
        <v>234</v>
      </c>
      <c r="C21" s="98" t="s">
        <v>116</v>
      </c>
      <c r="D21" s="99">
        <v>0</v>
      </c>
      <c r="E21" s="100">
        <f t="shared" si="1"/>
        <v>0</v>
      </c>
    </row>
    <row r="22" spans="1:5" hidden="1">
      <c r="A22" s="96" t="s">
        <v>129</v>
      </c>
      <c r="B22" s="101">
        <v>3432</v>
      </c>
      <c r="C22" s="98" t="s">
        <v>109</v>
      </c>
      <c r="D22" s="99">
        <v>0</v>
      </c>
      <c r="E22" s="100">
        <f t="shared" si="1"/>
        <v>0</v>
      </c>
    </row>
    <row r="23" spans="1:5" hidden="1">
      <c r="A23" s="96" t="s">
        <v>130</v>
      </c>
      <c r="B23" s="101">
        <v>234</v>
      </c>
      <c r="C23" s="98" t="s">
        <v>116</v>
      </c>
      <c r="D23" s="99">
        <v>0</v>
      </c>
      <c r="E23" s="100">
        <f t="shared" si="1"/>
        <v>0</v>
      </c>
    </row>
    <row r="24" spans="1:5" hidden="1">
      <c r="A24" s="96" t="s">
        <v>131</v>
      </c>
      <c r="B24" s="101">
        <v>62</v>
      </c>
      <c r="C24" s="98" t="s">
        <v>116</v>
      </c>
      <c r="D24" s="99">
        <v>0</v>
      </c>
      <c r="E24" s="100">
        <f t="shared" si="1"/>
        <v>0</v>
      </c>
    </row>
    <row r="25" spans="1:5" hidden="1">
      <c r="A25" s="96" t="s">
        <v>132</v>
      </c>
      <c r="B25" s="101">
        <v>62</v>
      </c>
      <c r="C25" s="98" t="s">
        <v>116</v>
      </c>
      <c r="D25" s="99">
        <v>0</v>
      </c>
      <c r="E25" s="100">
        <f t="shared" si="1"/>
        <v>0</v>
      </c>
    </row>
    <row r="26" spans="1:5" hidden="1">
      <c r="A26" s="96" t="s">
        <v>133</v>
      </c>
      <c r="B26" s="101">
        <v>62</v>
      </c>
      <c r="C26" s="98" t="s">
        <v>116</v>
      </c>
      <c r="D26" s="99">
        <v>0</v>
      </c>
      <c r="E26" s="100">
        <f t="shared" si="1"/>
        <v>0</v>
      </c>
    </row>
    <row r="27" spans="1:5" hidden="1">
      <c r="A27" s="96" t="s">
        <v>134</v>
      </c>
      <c r="B27" s="101">
        <v>1</v>
      </c>
      <c r="C27" s="98" t="s">
        <v>116</v>
      </c>
      <c r="D27" s="99">
        <v>0</v>
      </c>
      <c r="E27" s="100">
        <f t="shared" si="1"/>
        <v>0</v>
      </c>
    </row>
    <row r="28" spans="1:5" hidden="1">
      <c r="A28" s="96" t="s">
        <v>135</v>
      </c>
      <c r="B28" s="101">
        <v>1</v>
      </c>
      <c r="C28" s="98" t="s">
        <v>116</v>
      </c>
      <c r="D28" s="99">
        <v>0</v>
      </c>
      <c r="E28" s="100">
        <f t="shared" si="1"/>
        <v>0</v>
      </c>
    </row>
    <row r="29" spans="1:5" hidden="1">
      <c r="A29" s="90" t="s">
        <v>136</v>
      </c>
      <c r="B29" s="91"/>
      <c r="C29" s="92"/>
      <c r="D29" s="93" t="s">
        <v>107</v>
      </c>
      <c r="E29" s="94">
        <f>SUM(E30:E39)</f>
        <v>0</v>
      </c>
    </row>
    <row r="30" spans="1:5" hidden="1">
      <c r="A30" s="96" t="s">
        <v>137</v>
      </c>
      <c r="B30" s="101">
        <v>1818</v>
      </c>
      <c r="C30" s="98" t="s">
        <v>109</v>
      </c>
      <c r="D30" s="99">
        <v>0</v>
      </c>
      <c r="E30" s="100">
        <f t="shared" si="1"/>
        <v>0</v>
      </c>
    </row>
    <row r="31" spans="1:5" hidden="1">
      <c r="A31" s="96" t="s">
        <v>138</v>
      </c>
      <c r="B31" s="101">
        <v>246</v>
      </c>
      <c r="C31" s="98" t="s">
        <v>109</v>
      </c>
      <c r="D31" s="99">
        <v>0</v>
      </c>
      <c r="E31" s="100">
        <f t="shared" si="1"/>
        <v>0</v>
      </c>
    </row>
    <row r="32" spans="1:5" hidden="1">
      <c r="A32" s="96" t="s">
        <v>139</v>
      </c>
      <c r="B32" s="101">
        <v>930</v>
      </c>
      <c r="C32" s="98" t="s">
        <v>109</v>
      </c>
      <c r="D32" s="99">
        <v>0</v>
      </c>
      <c r="E32" s="100">
        <f t="shared" si="1"/>
        <v>0</v>
      </c>
    </row>
    <row r="33" spans="1:5" hidden="1">
      <c r="A33" s="96" t="s">
        <v>140</v>
      </c>
      <c r="B33" s="101">
        <v>515</v>
      </c>
      <c r="C33" s="98" t="s">
        <v>116</v>
      </c>
      <c r="D33" s="99">
        <v>0</v>
      </c>
      <c r="E33" s="100">
        <f t="shared" si="1"/>
        <v>0</v>
      </c>
    </row>
    <row r="34" spans="1:5" hidden="1">
      <c r="A34" s="96" t="s">
        <v>141</v>
      </c>
      <c r="B34" s="101">
        <v>1818</v>
      </c>
      <c r="C34" s="98" t="s">
        <v>109</v>
      </c>
      <c r="D34" s="99">
        <v>0</v>
      </c>
      <c r="E34" s="100">
        <f t="shared" si="1"/>
        <v>0</v>
      </c>
    </row>
    <row r="35" spans="1:5" hidden="1">
      <c r="A35" s="96" t="s">
        <v>142</v>
      </c>
      <c r="B35" s="101">
        <v>246</v>
      </c>
      <c r="C35" s="98" t="s">
        <v>109</v>
      </c>
      <c r="D35" s="99">
        <v>0</v>
      </c>
      <c r="E35" s="100">
        <f t="shared" si="1"/>
        <v>0</v>
      </c>
    </row>
    <row r="36" spans="1:5" hidden="1">
      <c r="A36" s="96" t="s">
        <v>143</v>
      </c>
      <c r="B36" s="101">
        <v>930</v>
      </c>
      <c r="C36" s="98" t="s">
        <v>109</v>
      </c>
      <c r="D36" s="99">
        <v>0</v>
      </c>
      <c r="E36" s="100">
        <f t="shared" si="1"/>
        <v>0</v>
      </c>
    </row>
    <row r="37" spans="1:5" hidden="1">
      <c r="A37" s="96" t="s">
        <v>144</v>
      </c>
      <c r="B37" s="101">
        <v>2</v>
      </c>
      <c r="C37" s="98" t="s">
        <v>116</v>
      </c>
      <c r="D37" s="99">
        <v>0</v>
      </c>
      <c r="E37" s="100">
        <f t="shared" si="1"/>
        <v>0</v>
      </c>
    </row>
    <row r="38" spans="1:5" hidden="1">
      <c r="A38" s="96" t="s">
        <v>145</v>
      </c>
      <c r="B38" s="101">
        <v>1</v>
      </c>
      <c r="C38" s="98" t="s">
        <v>116</v>
      </c>
      <c r="D38" s="99">
        <v>0</v>
      </c>
      <c r="E38" s="100">
        <f t="shared" si="1"/>
        <v>0</v>
      </c>
    </row>
    <row r="39" spans="1:5" hidden="1">
      <c r="A39" s="96" t="s">
        <v>146</v>
      </c>
      <c r="B39" s="101">
        <v>1</v>
      </c>
      <c r="C39" s="98" t="s">
        <v>116</v>
      </c>
      <c r="D39" s="99">
        <v>0</v>
      </c>
      <c r="E39" s="100">
        <f t="shared" si="1"/>
        <v>0</v>
      </c>
    </row>
    <row r="40" spans="1:5" ht="25.5" customHeight="1">
      <c r="A40" s="120" t="s">
        <v>171</v>
      </c>
      <c r="B40" s="92" t="s">
        <v>102</v>
      </c>
      <c r="C40" s="92" t="s">
        <v>103</v>
      </c>
      <c r="D40" s="92" t="s">
        <v>104</v>
      </c>
      <c r="E40" s="121" t="s">
        <v>105</v>
      </c>
    </row>
    <row r="41" spans="1:5" s="102" customFormat="1">
      <c r="A41" s="118" t="s">
        <v>148</v>
      </c>
      <c r="B41" s="119">
        <v>2</v>
      </c>
      <c r="C41" s="119" t="s">
        <v>149</v>
      </c>
      <c r="D41" s="341" t="e">
        <f>#REF!</f>
        <v>#REF!</v>
      </c>
      <c r="E41" s="343" t="e">
        <f>D41</f>
        <v>#REF!</v>
      </c>
    </row>
    <row r="42" spans="1:5">
      <c r="A42" s="126" t="s">
        <v>150</v>
      </c>
      <c r="B42" s="127">
        <v>18447.8</v>
      </c>
      <c r="C42" s="128" t="s">
        <v>168</v>
      </c>
      <c r="D42" s="342"/>
      <c r="E42" s="344"/>
    </row>
    <row r="43" spans="1:5">
      <c r="A43" s="126" t="s">
        <v>151</v>
      </c>
      <c r="B43" s="127">
        <v>4189.6400000000003</v>
      </c>
      <c r="C43" s="128" t="s">
        <v>169</v>
      </c>
      <c r="D43" s="342"/>
      <c r="E43" s="344"/>
    </row>
    <row r="44" spans="1:5">
      <c r="A44" s="126" t="s">
        <v>166</v>
      </c>
      <c r="B44" s="127">
        <v>14677.33</v>
      </c>
      <c r="C44" s="128" t="s">
        <v>168</v>
      </c>
      <c r="D44" s="342"/>
      <c r="E44" s="344"/>
    </row>
    <row r="45" spans="1:5">
      <c r="A45" s="126" t="s">
        <v>152</v>
      </c>
      <c r="B45" s="127">
        <v>14677.33</v>
      </c>
      <c r="C45" s="128" t="s">
        <v>168</v>
      </c>
      <c r="D45" s="342"/>
      <c r="E45" s="344"/>
    </row>
    <row r="46" spans="1:5">
      <c r="A46" s="126" t="s">
        <v>153</v>
      </c>
      <c r="B46" s="127">
        <v>14677.33</v>
      </c>
      <c r="C46" s="128" t="s">
        <v>168</v>
      </c>
      <c r="D46" s="342"/>
      <c r="E46" s="344"/>
    </row>
    <row r="47" spans="1:5">
      <c r="A47" s="126" t="s">
        <v>154</v>
      </c>
      <c r="B47" s="127">
        <v>14677.33</v>
      </c>
      <c r="C47" s="128" t="s">
        <v>168</v>
      </c>
      <c r="D47" s="342"/>
      <c r="E47" s="344"/>
    </row>
    <row r="48" spans="1:5" ht="15.75" thickBot="1">
      <c r="A48" s="129" t="s">
        <v>167</v>
      </c>
      <c r="B48" s="130">
        <v>4189.6400000000003</v>
      </c>
      <c r="C48" s="131" t="s">
        <v>169</v>
      </c>
      <c r="D48" s="342"/>
      <c r="E48" s="344"/>
    </row>
    <row r="49" spans="1:5" ht="22.5" customHeight="1" thickBot="1">
      <c r="A49" s="132"/>
      <c r="B49" s="133"/>
      <c r="C49" s="134"/>
      <c r="D49" s="123" t="s">
        <v>155</v>
      </c>
      <c r="E49" s="124" t="e">
        <f>E41</f>
        <v>#REF!</v>
      </c>
    </row>
    <row r="50" spans="1:5" ht="22.5" customHeight="1" thickBot="1">
      <c r="A50" s="345" t="s">
        <v>177</v>
      </c>
      <c r="B50" s="135"/>
      <c r="C50" s="136"/>
      <c r="D50" s="123" t="s">
        <v>173</v>
      </c>
      <c r="E50" s="124" t="e">
        <f>E49*0.05</f>
        <v>#REF!</v>
      </c>
    </row>
    <row r="51" spans="1:5" ht="22.5" customHeight="1" thickBot="1">
      <c r="A51" s="346"/>
      <c r="B51" s="135"/>
      <c r="C51" s="136"/>
      <c r="D51" s="123" t="s">
        <v>176</v>
      </c>
      <c r="E51" s="124" t="e">
        <f>E49-E50</f>
        <v>#REF!</v>
      </c>
    </row>
    <row r="52" spans="1:5" ht="22.5" customHeight="1" thickBot="1">
      <c r="A52" s="346"/>
      <c r="B52" s="135"/>
      <c r="C52" s="136"/>
      <c r="D52" s="135"/>
      <c r="E52" s="139"/>
    </row>
    <row r="53" spans="1:5" ht="30" customHeight="1" thickBot="1">
      <c r="A53" s="346"/>
      <c r="B53" s="135"/>
      <c r="C53" s="136"/>
      <c r="D53" s="125" t="s">
        <v>174</v>
      </c>
      <c r="E53" s="124" t="e">
        <f>(E49-E50)/10</f>
        <v>#REF!</v>
      </c>
    </row>
    <row r="54" spans="1:5" ht="22.5" customHeight="1" thickBot="1">
      <c r="A54" s="346"/>
      <c r="B54" s="135"/>
      <c r="C54" s="136"/>
      <c r="D54" s="135"/>
      <c r="E54" s="139"/>
    </row>
    <row r="55" spans="1:5" ht="26.25" thickBot="1">
      <c r="A55" s="347"/>
      <c r="B55" s="137"/>
      <c r="C55" s="138"/>
      <c r="D55" s="125" t="s">
        <v>175</v>
      </c>
      <c r="E55" s="124" t="e">
        <f>(E49*0.93)/5</f>
        <v>#REF!</v>
      </c>
    </row>
  </sheetData>
  <mergeCells count="5">
    <mergeCell ref="A1:E1"/>
    <mergeCell ref="D41:D48"/>
    <mergeCell ref="E41:E48"/>
    <mergeCell ref="A50:A55"/>
    <mergeCell ref="B2:E2"/>
  </mergeCells>
  <pageMargins left="0.511811024" right="0.511811024" top="0.78740157499999996" bottom="0.78740157499999996" header="0.31496062000000002" footer="0.31496062000000002"/>
  <pageSetup paperSize="2058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85"/>
  <sheetViews>
    <sheetView view="pageBreakPreview" zoomScaleSheetLayoutView="100" workbookViewId="0">
      <selection activeCell="A18" sqref="A18"/>
    </sheetView>
  </sheetViews>
  <sheetFormatPr defaultRowHeight="15"/>
  <cols>
    <col min="1" max="1" width="30.5703125" customWidth="1"/>
    <col min="2" max="2" width="9.5703125" style="1" bestFit="1" customWidth="1"/>
    <col min="4" max="4" width="15.85546875" style="2" bestFit="1" customWidth="1"/>
    <col min="5" max="5" width="17.28515625" style="2" bestFit="1" customWidth="1"/>
    <col min="6" max="6" width="17.28515625" bestFit="1" customWidth="1"/>
    <col min="7" max="7" width="9" customWidth="1"/>
    <col min="8" max="8" width="14.28515625" bestFit="1" customWidth="1"/>
  </cols>
  <sheetData>
    <row r="1" spans="1:8" ht="43.5" customHeight="1">
      <c r="A1" s="262" t="s">
        <v>100</v>
      </c>
      <c r="B1" s="263"/>
      <c r="C1" s="263"/>
      <c r="D1" s="263"/>
      <c r="E1" s="263"/>
      <c r="F1" s="263"/>
      <c r="G1" s="263"/>
    </row>
    <row r="2" spans="1:8" ht="15.75" thickBot="1">
      <c r="A2" s="264" t="s">
        <v>30</v>
      </c>
      <c r="B2" s="265"/>
      <c r="C2" s="265"/>
      <c r="D2" s="265"/>
      <c r="E2" s="265"/>
      <c r="F2" s="265"/>
      <c r="G2" s="265"/>
    </row>
    <row r="3" spans="1:8" ht="30.75" thickBot="1">
      <c r="A3" s="29" t="s">
        <v>0</v>
      </c>
      <c r="B3" s="30" t="s">
        <v>1</v>
      </c>
      <c r="C3" s="31" t="s">
        <v>35</v>
      </c>
      <c r="D3" s="32" t="s">
        <v>11</v>
      </c>
      <c r="E3" s="32" t="s">
        <v>12</v>
      </c>
      <c r="F3" s="33" t="s">
        <v>13</v>
      </c>
      <c r="G3" s="85">
        <f>1+B81</f>
        <v>1.31</v>
      </c>
    </row>
    <row r="4" spans="1:8">
      <c r="A4" s="10" t="s">
        <v>27</v>
      </c>
      <c r="B4" s="11">
        <v>0</v>
      </c>
      <c r="C4" s="12">
        <v>0</v>
      </c>
      <c r="D4" s="13">
        <v>88</v>
      </c>
      <c r="E4" s="6">
        <f t="shared" ref="E4:E17" si="0">B4*D4*C4</f>
        <v>0</v>
      </c>
      <c r="F4" s="60">
        <f>E4*$G$3</f>
        <v>0</v>
      </c>
    </row>
    <row r="5" spans="1:8">
      <c r="A5" s="52" t="s">
        <v>43</v>
      </c>
      <c r="B5" s="53">
        <v>0</v>
      </c>
      <c r="C5" s="54">
        <v>0</v>
      </c>
      <c r="D5" s="55">
        <v>90</v>
      </c>
      <c r="E5" s="6">
        <f t="shared" si="0"/>
        <v>0</v>
      </c>
      <c r="F5" s="15">
        <f>E5*$G$3</f>
        <v>0</v>
      </c>
    </row>
    <row r="6" spans="1:8">
      <c r="A6" s="14" t="s">
        <v>28</v>
      </c>
      <c r="B6" s="7">
        <v>0</v>
      </c>
      <c r="C6" s="8">
        <v>0</v>
      </c>
      <c r="D6" s="9">
        <v>56</v>
      </c>
      <c r="E6" s="6">
        <f t="shared" si="0"/>
        <v>0</v>
      </c>
      <c r="F6" s="15">
        <f t="shared" ref="F6:F18" si="1">E6*$G$3</f>
        <v>0</v>
      </c>
    </row>
    <row r="7" spans="1:8">
      <c r="A7" s="14" t="s">
        <v>21</v>
      </c>
      <c r="B7" s="7">
        <v>0</v>
      </c>
      <c r="C7" s="4">
        <v>0</v>
      </c>
      <c r="D7" s="9">
        <v>95</v>
      </c>
      <c r="E7" s="6">
        <f t="shared" si="0"/>
        <v>0</v>
      </c>
      <c r="F7" s="15">
        <f t="shared" si="1"/>
        <v>0</v>
      </c>
    </row>
    <row r="8" spans="1:8">
      <c r="A8" s="14" t="s">
        <v>22</v>
      </c>
      <c r="B8" s="7">
        <v>0</v>
      </c>
      <c r="C8" s="4">
        <v>0</v>
      </c>
      <c r="D8" s="9">
        <v>53</v>
      </c>
      <c r="E8" s="6">
        <f t="shared" si="0"/>
        <v>0</v>
      </c>
      <c r="F8" s="15">
        <f t="shared" si="1"/>
        <v>0</v>
      </c>
    </row>
    <row r="9" spans="1:8">
      <c r="A9" s="14" t="s">
        <v>36</v>
      </c>
      <c r="B9" s="7">
        <v>0</v>
      </c>
      <c r="C9" s="4">
        <v>0</v>
      </c>
      <c r="D9" s="9">
        <v>53</v>
      </c>
      <c r="E9" s="6">
        <f t="shared" si="0"/>
        <v>0</v>
      </c>
      <c r="F9" s="15">
        <f t="shared" si="1"/>
        <v>0</v>
      </c>
    </row>
    <row r="10" spans="1:8">
      <c r="A10" s="14" t="s">
        <v>23</v>
      </c>
      <c r="B10" s="7">
        <v>0</v>
      </c>
      <c r="C10" s="4">
        <v>0</v>
      </c>
      <c r="D10" s="9">
        <v>40</v>
      </c>
      <c r="E10" s="6">
        <f t="shared" si="0"/>
        <v>0</v>
      </c>
      <c r="F10" s="15">
        <f t="shared" si="1"/>
        <v>0</v>
      </c>
    </row>
    <row r="11" spans="1:8">
      <c r="A11" s="16" t="s">
        <v>14</v>
      </c>
      <c r="B11" s="5">
        <v>0</v>
      </c>
      <c r="C11" s="4">
        <v>0</v>
      </c>
      <c r="D11" s="6">
        <v>110</v>
      </c>
      <c r="E11" s="6">
        <f t="shared" si="0"/>
        <v>0</v>
      </c>
      <c r="F11" s="15">
        <f t="shared" si="1"/>
        <v>0</v>
      </c>
    </row>
    <row r="12" spans="1:8">
      <c r="A12" s="16" t="s">
        <v>37</v>
      </c>
      <c r="B12" s="5">
        <v>0</v>
      </c>
      <c r="C12" s="4">
        <v>0</v>
      </c>
      <c r="D12" s="6">
        <v>53</v>
      </c>
      <c r="E12" s="6">
        <f t="shared" si="0"/>
        <v>0</v>
      </c>
      <c r="F12" s="15">
        <f t="shared" si="1"/>
        <v>0</v>
      </c>
      <c r="H12" t="s">
        <v>51</v>
      </c>
    </row>
    <row r="13" spans="1:8">
      <c r="A13" s="16" t="s">
        <v>15</v>
      </c>
      <c r="B13" s="5">
        <v>0</v>
      </c>
      <c r="C13" s="4">
        <v>0</v>
      </c>
      <c r="D13" s="6">
        <v>70</v>
      </c>
      <c r="E13" s="6">
        <f t="shared" si="0"/>
        <v>0</v>
      </c>
      <c r="F13" s="15">
        <f t="shared" si="1"/>
        <v>0</v>
      </c>
    </row>
    <row r="14" spans="1:8">
      <c r="A14" s="16" t="s">
        <v>41</v>
      </c>
      <c r="B14" s="5">
        <v>0</v>
      </c>
      <c r="C14" s="4">
        <v>0</v>
      </c>
      <c r="D14" s="6">
        <v>50</v>
      </c>
      <c r="E14" s="6">
        <f>B14*D14*C14</f>
        <v>0</v>
      </c>
      <c r="F14" s="15">
        <f t="shared" si="1"/>
        <v>0</v>
      </c>
      <c r="G14" s="49"/>
    </row>
    <row r="15" spans="1:8">
      <c r="A15" s="16" t="s">
        <v>9</v>
      </c>
      <c r="B15" s="5">
        <v>0</v>
      </c>
      <c r="C15" s="4">
        <v>0</v>
      </c>
      <c r="D15" s="6">
        <v>4.5</v>
      </c>
      <c r="E15" s="6">
        <f t="shared" si="0"/>
        <v>0</v>
      </c>
      <c r="F15" s="17">
        <f t="shared" si="1"/>
        <v>0</v>
      </c>
      <c r="H15" t="s">
        <v>51</v>
      </c>
    </row>
    <row r="16" spans="1:8">
      <c r="A16" s="16" t="s">
        <v>10</v>
      </c>
      <c r="B16" s="5">
        <v>0</v>
      </c>
      <c r="C16" s="4">
        <v>0</v>
      </c>
      <c r="D16" s="6">
        <v>4.5</v>
      </c>
      <c r="E16" s="6">
        <f t="shared" si="0"/>
        <v>0</v>
      </c>
      <c r="F16" s="17">
        <f t="shared" si="1"/>
        <v>0</v>
      </c>
    </row>
    <row r="17" spans="1:7" ht="15.75" thickBot="1">
      <c r="A17" s="34" t="s">
        <v>20</v>
      </c>
      <c r="B17" s="35">
        <v>0</v>
      </c>
      <c r="C17" s="36">
        <v>0</v>
      </c>
      <c r="D17" s="37">
        <v>4.5</v>
      </c>
      <c r="E17" s="6">
        <f t="shared" si="0"/>
        <v>0</v>
      </c>
      <c r="F17" s="39">
        <f t="shared" si="1"/>
        <v>0</v>
      </c>
    </row>
    <row r="18" spans="1:7" ht="15.75" thickBot="1">
      <c r="A18" s="18" t="s">
        <v>79</v>
      </c>
      <c r="B18" s="19">
        <v>0</v>
      </c>
      <c r="C18" s="20">
        <v>0</v>
      </c>
      <c r="D18" s="21">
        <v>0</v>
      </c>
      <c r="E18" s="21">
        <f>D18</f>
        <v>0</v>
      </c>
      <c r="F18" s="22">
        <f t="shared" si="1"/>
        <v>0</v>
      </c>
      <c r="G18" s="61" t="s">
        <v>42</v>
      </c>
    </row>
    <row r="19" spans="1:7" ht="15.75" thickBot="1">
      <c r="A19" s="260"/>
      <c r="B19" s="260"/>
      <c r="C19" s="260"/>
      <c r="D19" s="260"/>
      <c r="E19" s="261"/>
      <c r="F19" s="88">
        <f>SUM(F4:F18)</f>
        <v>0</v>
      </c>
    </row>
    <row r="20" spans="1:7" ht="5.25" customHeight="1" thickBot="1">
      <c r="A20" s="266"/>
      <c r="B20" s="260"/>
      <c r="C20" s="260"/>
      <c r="D20" s="260"/>
      <c r="E20" s="260"/>
      <c r="F20" s="261"/>
    </row>
    <row r="21" spans="1:7" ht="15.75" thickBot="1">
      <c r="A21" s="267" t="s">
        <v>31</v>
      </c>
      <c r="B21" s="268"/>
      <c r="C21" s="268"/>
      <c r="D21" s="268"/>
      <c r="E21" s="268"/>
      <c r="F21" s="269"/>
    </row>
    <row r="22" spans="1:7">
      <c r="A22" s="23" t="s">
        <v>29</v>
      </c>
      <c r="B22" s="24">
        <f t="shared" ref="B22:C32" si="2">B4</f>
        <v>0</v>
      </c>
      <c r="C22" s="25">
        <f t="shared" si="2"/>
        <v>0</v>
      </c>
      <c r="D22" s="59">
        <f>(3000*2.6)/220</f>
        <v>35.454545454545453</v>
      </c>
      <c r="E22" s="6">
        <f t="shared" ref="E22:E31" si="3">B22*D22*C22</f>
        <v>0</v>
      </c>
      <c r="F22" s="60">
        <f t="shared" ref="F22:F48" si="4">E22*$G$3</f>
        <v>0</v>
      </c>
    </row>
    <row r="23" spans="1:7">
      <c r="A23" s="56" t="s">
        <v>44</v>
      </c>
      <c r="B23" s="57">
        <f t="shared" si="2"/>
        <v>0</v>
      </c>
      <c r="C23" s="58">
        <f t="shared" si="2"/>
        <v>0</v>
      </c>
      <c r="D23" s="6">
        <f>(3000*2.6)/220</f>
        <v>35.454545454545453</v>
      </c>
      <c r="E23" s="6">
        <f t="shared" si="3"/>
        <v>0</v>
      </c>
      <c r="F23" s="15">
        <f t="shared" si="4"/>
        <v>0</v>
      </c>
    </row>
    <row r="24" spans="1:7">
      <c r="A24" s="16" t="s">
        <v>34</v>
      </c>
      <c r="B24" s="5">
        <f t="shared" si="2"/>
        <v>0</v>
      </c>
      <c r="C24" s="4">
        <f t="shared" si="2"/>
        <v>0</v>
      </c>
      <c r="D24" s="6">
        <f>(1800*2.6)/220</f>
        <v>21.272727272727273</v>
      </c>
      <c r="E24" s="6">
        <f t="shared" si="3"/>
        <v>0</v>
      </c>
      <c r="F24" s="15">
        <f t="shared" si="4"/>
        <v>0</v>
      </c>
    </row>
    <row r="25" spans="1:7">
      <c r="A25" s="14" t="s">
        <v>24</v>
      </c>
      <c r="B25" s="7">
        <f t="shared" si="2"/>
        <v>0</v>
      </c>
      <c r="C25" s="4">
        <f t="shared" si="2"/>
        <v>0</v>
      </c>
      <c r="D25" s="6">
        <f>(3300*2.6)/220</f>
        <v>39</v>
      </c>
      <c r="E25" s="6">
        <f t="shared" si="3"/>
        <v>0</v>
      </c>
      <c r="F25" s="15">
        <f t="shared" si="4"/>
        <v>0</v>
      </c>
    </row>
    <row r="26" spans="1:7">
      <c r="A26" s="14" t="s">
        <v>25</v>
      </c>
      <c r="B26" s="7">
        <f t="shared" si="2"/>
        <v>0</v>
      </c>
      <c r="C26" s="4">
        <f t="shared" si="2"/>
        <v>0</v>
      </c>
      <c r="D26" s="6">
        <f>(1500*2.6)/220</f>
        <v>17.727272727272727</v>
      </c>
      <c r="E26" s="6">
        <f t="shared" si="3"/>
        <v>0</v>
      </c>
      <c r="F26" s="15">
        <f t="shared" si="4"/>
        <v>0</v>
      </c>
    </row>
    <row r="27" spans="1:7">
      <c r="A27" s="14" t="s">
        <v>38</v>
      </c>
      <c r="B27" s="7">
        <f t="shared" si="2"/>
        <v>0</v>
      </c>
      <c r="C27" s="4">
        <f t="shared" si="2"/>
        <v>0</v>
      </c>
      <c r="D27" s="6">
        <f>(1500*2.6)/220</f>
        <v>17.727272727272727</v>
      </c>
      <c r="E27" s="6">
        <f t="shared" si="3"/>
        <v>0</v>
      </c>
      <c r="F27" s="15">
        <f t="shared" si="4"/>
        <v>0</v>
      </c>
    </row>
    <row r="28" spans="1:7">
      <c r="A28" s="14" t="s">
        <v>26</v>
      </c>
      <c r="B28" s="7">
        <f t="shared" si="2"/>
        <v>0</v>
      </c>
      <c r="C28" s="4">
        <v>0</v>
      </c>
      <c r="D28" s="6">
        <f>(1500*2.6)/220</f>
        <v>17.727272727272727</v>
      </c>
      <c r="E28" s="6">
        <f t="shared" si="3"/>
        <v>0</v>
      </c>
      <c r="F28" s="15">
        <f t="shared" si="4"/>
        <v>0</v>
      </c>
    </row>
    <row r="29" spans="1:7">
      <c r="A29" s="16" t="s">
        <v>16</v>
      </c>
      <c r="B29" s="5">
        <f t="shared" si="2"/>
        <v>0</v>
      </c>
      <c r="C29" s="4">
        <f>C11</f>
        <v>0</v>
      </c>
      <c r="D29" s="6">
        <f>(2000*2.26)/220</f>
        <v>20.545454545454547</v>
      </c>
      <c r="E29" s="6">
        <f t="shared" si="3"/>
        <v>0</v>
      </c>
      <c r="F29" s="15">
        <f t="shared" si="4"/>
        <v>0</v>
      </c>
    </row>
    <row r="30" spans="1:7">
      <c r="A30" s="16" t="s">
        <v>39</v>
      </c>
      <c r="B30" s="5">
        <f t="shared" si="2"/>
        <v>0</v>
      </c>
      <c r="C30" s="4">
        <f>C12</f>
        <v>0</v>
      </c>
      <c r="D30" s="6">
        <f>(1500*2.26)/220</f>
        <v>15.409090909090907</v>
      </c>
      <c r="E30" s="6">
        <f t="shared" si="3"/>
        <v>0</v>
      </c>
      <c r="F30" s="15">
        <f t="shared" si="4"/>
        <v>0</v>
      </c>
    </row>
    <row r="31" spans="1:7">
      <c r="A31" s="16" t="s">
        <v>17</v>
      </c>
      <c r="B31" s="5">
        <f t="shared" si="2"/>
        <v>0</v>
      </c>
      <c r="C31" s="4">
        <f>C13</f>
        <v>0</v>
      </c>
      <c r="D31" s="6">
        <f>(3000*2.26)/220</f>
        <v>30.818181818181813</v>
      </c>
      <c r="E31" s="6">
        <f t="shared" si="3"/>
        <v>0</v>
      </c>
      <c r="F31" s="15">
        <f t="shared" si="4"/>
        <v>0</v>
      </c>
    </row>
    <row r="32" spans="1:7">
      <c r="A32" s="16" t="s">
        <v>45</v>
      </c>
      <c r="B32" s="5">
        <f t="shared" si="2"/>
        <v>0</v>
      </c>
      <c r="C32" s="4">
        <f>C14</f>
        <v>0</v>
      </c>
      <c r="D32" s="6">
        <f>(1500*2.26)/220</f>
        <v>15.409090909090907</v>
      </c>
      <c r="E32" s="6">
        <f>B32*D32*C32</f>
        <v>0</v>
      </c>
      <c r="F32" s="15">
        <f t="shared" si="4"/>
        <v>0</v>
      </c>
    </row>
    <row r="33" spans="1:6">
      <c r="A33" s="16" t="s">
        <v>2</v>
      </c>
      <c r="B33" s="5">
        <f>B17</f>
        <v>0</v>
      </c>
      <c r="C33" s="4">
        <f>C17</f>
        <v>0</v>
      </c>
      <c r="D33" s="6">
        <f>(5000*2.26)/220</f>
        <v>51.363636363636353</v>
      </c>
      <c r="E33" s="6">
        <f t="shared" ref="E33:E48" si="5">B33*D33*C33</f>
        <v>0</v>
      </c>
      <c r="F33" s="15">
        <f t="shared" si="4"/>
        <v>0</v>
      </c>
    </row>
    <row r="34" spans="1:6">
      <c r="A34" s="16" t="s">
        <v>19</v>
      </c>
      <c r="B34" s="5">
        <v>0</v>
      </c>
      <c r="C34" s="4">
        <v>0</v>
      </c>
      <c r="D34" s="6">
        <f>(2500*2.26)/220</f>
        <v>25.681818181818176</v>
      </c>
      <c r="E34" s="6">
        <f t="shared" si="5"/>
        <v>0</v>
      </c>
      <c r="F34" s="15">
        <f t="shared" si="4"/>
        <v>0</v>
      </c>
    </row>
    <row r="35" spans="1:6">
      <c r="A35" s="16" t="s">
        <v>18</v>
      </c>
      <c r="B35" s="5">
        <v>0</v>
      </c>
      <c r="C35" s="4">
        <v>0</v>
      </c>
      <c r="D35" s="6">
        <f>(1800*2.26)/220</f>
        <v>18.490909090909089</v>
      </c>
      <c r="E35" s="6">
        <f t="shared" si="5"/>
        <v>0</v>
      </c>
      <c r="F35" s="15">
        <f t="shared" si="4"/>
        <v>0</v>
      </c>
    </row>
    <row r="36" spans="1:6">
      <c r="A36" s="16" t="s">
        <v>3</v>
      </c>
      <c r="B36" s="5">
        <v>0</v>
      </c>
      <c r="C36" s="4">
        <v>0</v>
      </c>
      <c r="D36" s="6">
        <f>(1200*2.26)/220</f>
        <v>12.327272727272724</v>
      </c>
      <c r="E36" s="6">
        <f t="shared" si="5"/>
        <v>0</v>
      </c>
      <c r="F36" s="15">
        <f t="shared" si="4"/>
        <v>0</v>
      </c>
    </row>
    <row r="37" spans="1:6">
      <c r="A37" s="16" t="s">
        <v>46</v>
      </c>
      <c r="B37" s="5">
        <v>0</v>
      </c>
      <c r="C37" s="4">
        <v>0</v>
      </c>
      <c r="D37" s="6">
        <f>(2000*2.26)/220</f>
        <v>20.545454545454547</v>
      </c>
      <c r="E37" s="6">
        <f t="shared" si="5"/>
        <v>0</v>
      </c>
      <c r="F37" s="15">
        <f t="shared" si="4"/>
        <v>0</v>
      </c>
    </row>
    <row r="38" spans="1:6">
      <c r="A38" s="16" t="s">
        <v>4</v>
      </c>
      <c r="B38" s="5">
        <v>0</v>
      </c>
      <c r="C38" s="4">
        <v>0</v>
      </c>
      <c r="D38" s="6">
        <f>(1500*2.26)/220</f>
        <v>15.409090909090907</v>
      </c>
      <c r="E38" s="6">
        <f t="shared" si="5"/>
        <v>0</v>
      </c>
      <c r="F38" s="15">
        <f t="shared" si="4"/>
        <v>0</v>
      </c>
    </row>
    <row r="39" spans="1:6">
      <c r="A39" s="16" t="s">
        <v>5</v>
      </c>
      <c r="B39" s="5">
        <f>B15</f>
        <v>0</v>
      </c>
      <c r="C39" s="4">
        <f>C15</f>
        <v>0</v>
      </c>
      <c r="D39" s="6">
        <f>(4000*2.26)/220</f>
        <v>41.090909090909093</v>
      </c>
      <c r="E39" s="6">
        <f t="shared" si="5"/>
        <v>0</v>
      </c>
      <c r="F39" s="17">
        <f t="shared" si="4"/>
        <v>0</v>
      </c>
    </row>
    <row r="40" spans="1:6">
      <c r="A40" s="16" t="s">
        <v>6</v>
      </c>
      <c r="B40" s="5">
        <f>B39</f>
        <v>0</v>
      </c>
      <c r="C40" s="4">
        <f>C39</f>
        <v>0</v>
      </c>
      <c r="D40" s="6">
        <f>(2400*2.26)/220</f>
        <v>24.654545454545449</v>
      </c>
      <c r="E40" s="6">
        <f>B40*D40*C40</f>
        <v>0</v>
      </c>
      <c r="F40" s="17">
        <f t="shared" si="4"/>
        <v>0</v>
      </c>
    </row>
    <row r="41" spans="1:6">
      <c r="A41" s="16" t="s">
        <v>7</v>
      </c>
      <c r="B41" s="5">
        <f>B16</f>
        <v>0</v>
      </c>
      <c r="C41" s="4">
        <f>C16</f>
        <v>0</v>
      </c>
      <c r="D41" s="6">
        <f>(3500*2.26)/220</f>
        <v>35.954545454545453</v>
      </c>
      <c r="E41" s="6">
        <f t="shared" si="5"/>
        <v>0</v>
      </c>
      <c r="F41" s="17">
        <f>E41*$G$3</f>
        <v>0</v>
      </c>
    </row>
    <row r="42" spans="1:6">
      <c r="A42" s="34" t="s">
        <v>8</v>
      </c>
      <c r="B42" s="35">
        <f>B41</f>
        <v>0</v>
      </c>
      <c r="C42" s="36">
        <f>C41</f>
        <v>0</v>
      </c>
      <c r="D42" s="37">
        <f>(1800*2.26)/220</f>
        <v>18.490909090909089</v>
      </c>
      <c r="E42" s="6">
        <f t="shared" si="5"/>
        <v>0</v>
      </c>
      <c r="F42" s="38">
        <f t="shared" si="4"/>
        <v>0</v>
      </c>
    </row>
    <row r="43" spans="1:6">
      <c r="A43" s="34" t="s">
        <v>61</v>
      </c>
      <c r="B43" s="35">
        <v>0</v>
      </c>
      <c r="C43" s="36">
        <v>0</v>
      </c>
      <c r="D43" s="37">
        <v>18</v>
      </c>
      <c r="E43" s="6">
        <f t="shared" si="5"/>
        <v>0</v>
      </c>
      <c r="F43" s="38">
        <f t="shared" si="4"/>
        <v>0</v>
      </c>
    </row>
    <row r="44" spans="1:6">
      <c r="A44" s="16" t="s">
        <v>62</v>
      </c>
      <c r="B44" s="5">
        <v>0</v>
      </c>
      <c r="C44" s="4">
        <v>0</v>
      </c>
      <c r="D44" s="6">
        <v>20</v>
      </c>
      <c r="E44" s="6">
        <f t="shared" si="5"/>
        <v>0</v>
      </c>
      <c r="F44" s="38">
        <f t="shared" si="4"/>
        <v>0</v>
      </c>
    </row>
    <row r="45" spans="1:6">
      <c r="A45" s="16" t="s">
        <v>69</v>
      </c>
      <c r="B45" s="35">
        <v>0</v>
      </c>
      <c r="C45" s="36">
        <v>0</v>
      </c>
      <c r="D45" s="37">
        <v>9.5</v>
      </c>
      <c r="E45" s="6">
        <f t="shared" si="5"/>
        <v>0</v>
      </c>
      <c r="F45" s="38">
        <f t="shared" si="4"/>
        <v>0</v>
      </c>
    </row>
    <row r="46" spans="1:6">
      <c r="A46" s="34" t="s">
        <v>60</v>
      </c>
      <c r="B46" s="35">
        <v>2</v>
      </c>
      <c r="C46" s="36">
        <v>0</v>
      </c>
      <c r="D46" s="37">
        <f>(2200*2.26)/220</f>
        <v>22.599999999999994</v>
      </c>
      <c r="E46" s="6">
        <f t="shared" si="5"/>
        <v>0</v>
      </c>
      <c r="F46" s="38">
        <f t="shared" si="4"/>
        <v>0</v>
      </c>
    </row>
    <row r="47" spans="1:6">
      <c r="A47" s="34" t="s">
        <v>66</v>
      </c>
      <c r="B47" s="35">
        <v>4</v>
      </c>
      <c r="C47" s="36">
        <v>0</v>
      </c>
      <c r="D47" s="6">
        <f>(1200*2.26)/220</f>
        <v>12.327272727272724</v>
      </c>
      <c r="E47" s="6">
        <f t="shared" si="5"/>
        <v>0</v>
      </c>
      <c r="F47" s="38">
        <f t="shared" si="4"/>
        <v>0</v>
      </c>
    </row>
    <row r="48" spans="1:6" ht="15.75" thickBot="1">
      <c r="A48" s="18" t="s">
        <v>65</v>
      </c>
      <c r="B48" s="19">
        <v>0</v>
      </c>
      <c r="C48" s="20">
        <v>0</v>
      </c>
      <c r="D48" s="21">
        <f>(4000*2.26)/220</f>
        <v>41.090909090909093</v>
      </c>
      <c r="E48" s="6">
        <f t="shared" si="5"/>
        <v>0</v>
      </c>
      <c r="F48" s="27">
        <f t="shared" si="4"/>
        <v>0</v>
      </c>
    </row>
    <row r="49" spans="1:7" ht="15.75" thickBot="1">
      <c r="A49" s="260"/>
      <c r="B49" s="260"/>
      <c r="C49" s="260"/>
      <c r="D49" s="260"/>
      <c r="E49" s="261"/>
      <c r="F49" s="88">
        <f>SUM(F22:F48)</f>
        <v>0</v>
      </c>
    </row>
    <row r="50" spans="1:7" ht="4.5" customHeight="1" thickBot="1">
      <c r="A50" s="266"/>
      <c r="B50" s="260"/>
      <c r="C50" s="260"/>
      <c r="D50" s="260"/>
      <c r="E50" s="260"/>
      <c r="F50" s="261"/>
    </row>
    <row r="51" spans="1:7" ht="15.75" thickBot="1">
      <c r="A51" s="267" t="s">
        <v>32</v>
      </c>
      <c r="B51" s="268"/>
      <c r="C51" s="268"/>
      <c r="D51" s="268"/>
      <c r="E51" s="268"/>
      <c r="F51" s="269"/>
    </row>
    <row r="52" spans="1:7">
      <c r="A52" s="23" t="s">
        <v>57</v>
      </c>
      <c r="B52" s="87">
        <v>0</v>
      </c>
      <c r="C52" s="43" t="s">
        <v>40</v>
      </c>
      <c r="D52" s="26">
        <v>250</v>
      </c>
      <c r="E52" s="46">
        <f t="shared" ref="E52:E66" si="6">D52*B52</f>
        <v>0</v>
      </c>
      <c r="F52" s="28">
        <f t="shared" ref="F52:F66" si="7">E52*$G$3</f>
        <v>0</v>
      </c>
    </row>
    <row r="53" spans="1:7">
      <c r="A53" s="16" t="s">
        <v>85</v>
      </c>
      <c r="B53" s="87">
        <v>0</v>
      </c>
      <c r="C53" s="44" t="s">
        <v>59</v>
      </c>
      <c r="D53" s="6">
        <v>46</v>
      </c>
      <c r="E53" s="47">
        <f t="shared" si="6"/>
        <v>0</v>
      </c>
      <c r="F53" s="17">
        <f t="shared" si="7"/>
        <v>0</v>
      </c>
    </row>
    <row r="54" spans="1:7">
      <c r="A54" s="34" t="s">
        <v>86</v>
      </c>
      <c r="B54" s="87">
        <v>0</v>
      </c>
      <c r="C54" s="45" t="s">
        <v>59</v>
      </c>
      <c r="D54" s="37">
        <v>90</v>
      </c>
      <c r="E54" s="47">
        <f t="shared" si="6"/>
        <v>0</v>
      </c>
      <c r="F54" s="17">
        <f t="shared" si="7"/>
        <v>0</v>
      </c>
      <c r="G54" s="3"/>
    </row>
    <row r="55" spans="1:7">
      <c r="A55" s="34" t="s">
        <v>101</v>
      </c>
      <c r="B55" s="87">
        <v>0</v>
      </c>
      <c r="C55" s="45" t="s">
        <v>59</v>
      </c>
      <c r="D55" s="37">
        <v>1</v>
      </c>
      <c r="E55" s="47"/>
      <c r="F55" s="17"/>
      <c r="G55" s="3"/>
    </row>
    <row r="56" spans="1:7">
      <c r="A56" s="34" t="s">
        <v>87</v>
      </c>
      <c r="B56" s="87">
        <v>0</v>
      </c>
      <c r="C56" s="45" t="s">
        <v>58</v>
      </c>
      <c r="D56" s="37">
        <v>360</v>
      </c>
      <c r="E56" s="47">
        <f t="shared" si="6"/>
        <v>0</v>
      </c>
      <c r="F56" s="17">
        <f t="shared" si="7"/>
        <v>0</v>
      </c>
      <c r="G56" s="3"/>
    </row>
    <row r="57" spans="1:7">
      <c r="A57" s="34" t="s">
        <v>88</v>
      </c>
      <c r="B57" s="87">
        <v>0</v>
      </c>
      <c r="C57" s="45" t="s">
        <v>89</v>
      </c>
      <c r="D57" s="37">
        <v>800</v>
      </c>
      <c r="E57" s="47">
        <f t="shared" si="6"/>
        <v>0</v>
      </c>
      <c r="F57" s="17">
        <f t="shared" si="7"/>
        <v>0</v>
      </c>
      <c r="G57" s="3"/>
    </row>
    <row r="58" spans="1:7">
      <c r="A58" s="16" t="s">
        <v>90</v>
      </c>
      <c r="B58" s="87">
        <v>0</v>
      </c>
      <c r="C58" s="44" t="s">
        <v>58</v>
      </c>
      <c r="D58" s="6">
        <v>600</v>
      </c>
      <c r="E58" s="6">
        <f t="shared" si="6"/>
        <v>0</v>
      </c>
      <c r="F58" s="15">
        <f t="shared" si="7"/>
        <v>0</v>
      </c>
    </row>
    <row r="59" spans="1:7">
      <c r="A59" s="16" t="s">
        <v>91</v>
      </c>
      <c r="B59" s="87">
        <v>0</v>
      </c>
      <c r="C59" s="44" t="s">
        <v>58</v>
      </c>
      <c r="D59" s="6">
        <v>2.9</v>
      </c>
      <c r="E59" s="6">
        <f t="shared" si="6"/>
        <v>0</v>
      </c>
      <c r="F59" s="15">
        <f t="shared" si="7"/>
        <v>0</v>
      </c>
    </row>
    <row r="60" spans="1:7">
      <c r="A60" s="16" t="s">
        <v>92</v>
      </c>
      <c r="B60" s="87">
        <v>0</v>
      </c>
      <c r="C60" s="44" t="s">
        <v>94</v>
      </c>
      <c r="D60" s="6">
        <v>22</v>
      </c>
      <c r="E60" s="6">
        <f t="shared" si="6"/>
        <v>0</v>
      </c>
      <c r="F60" s="15">
        <f t="shared" si="7"/>
        <v>0</v>
      </c>
    </row>
    <row r="61" spans="1:7">
      <c r="A61" s="16" t="s">
        <v>93</v>
      </c>
      <c r="B61" s="87">
        <v>0</v>
      </c>
      <c r="C61" s="44" t="s">
        <v>94</v>
      </c>
      <c r="D61" s="6">
        <v>9</v>
      </c>
      <c r="E61" s="6">
        <f t="shared" si="6"/>
        <v>0</v>
      </c>
      <c r="F61" s="15">
        <f t="shared" si="7"/>
        <v>0</v>
      </c>
    </row>
    <row r="62" spans="1:7">
      <c r="A62" s="16" t="s">
        <v>95</v>
      </c>
      <c r="B62" s="87">
        <v>0</v>
      </c>
      <c r="C62" s="44" t="s">
        <v>97</v>
      </c>
      <c r="D62" s="6">
        <v>18000</v>
      </c>
      <c r="E62" s="6">
        <f t="shared" si="6"/>
        <v>0</v>
      </c>
      <c r="F62" s="15">
        <f t="shared" si="7"/>
        <v>0</v>
      </c>
    </row>
    <row r="63" spans="1:7">
      <c r="A63" s="16" t="s">
        <v>96</v>
      </c>
      <c r="B63" s="87">
        <v>0</v>
      </c>
      <c r="C63" s="44" t="s">
        <v>97</v>
      </c>
      <c r="D63" s="6">
        <v>8000</v>
      </c>
      <c r="E63" s="6">
        <f t="shared" si="6"/>
        <v>0</v>
      </c>
      <c r="F63" s="15">
        <f t="shared" si="7"/>
        <v>0</v>
      </c>
    </row>
    <row r="64" spans="1:7">
      <c r="A64" s="34" t="s">
        <v>98</v>
      </c>
      <c r="B64" s="87">
        <v>0</v>
      </c>
      <c r="C64" s="45" t="s">
        <v>58</v>
      </c>
      <c r="D64" s="37">
        <v>65</v>
      </c>
      <c r="E64" s="37">
        <f t="shared" si="6"/>
        <v>0</v>
      </c>
      <c r="F64" s="39">
        <f t="shared" si="7"/>
        <v>0</v>
      </c>
    </row>
    <row r="65" spans="1:9">
      <c r="A65" s="34" t="s">
        <v>82</v>
      </c>
      <c r="B65" s="87">
        <v>0</v>
      </c>
      <c r="C65" s="45" t="s">
        <v>58</v>
      </c>
      <c r="D65" s="37">
        <v>65</v>
      </c>
      <c r="E65" s="37">
        <f t="shared" si="6"/>
        <v>0</v>
      </c>
      <c r="F65" s="39">
        <f t="shared" si="7"/>
        <v>0</v>
      </c>
    </row>
    <row r="66" spans="1:9" ht="15.75" thickBot="1">
      <c r="A66" s="18" t="s">
        <v>76</v>
      </c>
      <c r="B66" s="87">
        <v>0</v>
      </c>
      <c r="C66" s="86" t="s">
        <v>63</v>
      </c>
      <c r="D66" s="21">
        <v>106</v>
      </c>
      <c r="E66" s="21">
        <f t="shared" si="6"/>
        <v>0</v>
      </c>
      <c r="F66" s="22">
        <f t="shared" si="7"/>
        <v>0</v>
      </c>
    </row>
    <row r="67" spans="1:9" ht="15.75" thickBot="1">
      <c r="A67" s="266"/>
      <c r="B67" s="260"/>
      <c r="C67" s="260"/>
      <c r="D67" s="260"/>
      <c r="E67" s="261"/>
      <c r="F67" s="48">
        <f>SUM(F52:F66)</f>
        <v>0</v>
      </c>
      <c r="G67" s="3"/>
      <c r="H67" s="3"/>
    </row>
    <row r="68" spans="1:9" ht="4.5" customHeight="1" thickBot="1">
      <c r="A68" s="266"/>
      <c r="B68" s="260"/>
      <c r="C68" s="260"/>
      <c r="D68" s="260"/>
      <c r="E68" s="260"/>
      <c r="F68" s="261"/>
      <c r="G68" s="3"/>
      <c r="H68" s="3"/>
    </row>
    <row r="69" spans="1:9" ht="15.75" thickBot="1">
      <c r="A69" s="278" t="s">
        <v>47</v>
      </c>
      <c r="B69" s="279"/>
      <c r="C69" s="279"/>
      <c r="D69" s="279"/>
      <c r="E69" s="280"/>
      <c r="F69" s="63"/>
    </row>
    <row r="70" spans="1:9">
      <c r="A70" s="64" t="s">
        <v>0</v>
      </c>
      <c r="B70" s="65" t="s">
        <v>1</v>
      </c>
      <c r="C70" s="66" t="s">
        <v>49</v>
      </c>
      <c r="D70" s="67" t="s">
        <v>11</v>
      </c>
      <c r="E70" s="65" t="s">
        <v>12</v>
      </c>
      <c r="F70" s="68" t="s">
        <v>13</v>
      </c>
    </row>
    <row r="71" spans="1:9">
      <c r="A71" s="16" t="s">
        <v>75</v>
      </c>
      <c r="B71" s="5">
        <v>0</v>
      </c>
      <c r="C71" s="4">
        <v>0</v>
      </c>
      <c r="D71" s="6">
        <v>18</v>
      </c>
      <c r="E71" s="6">
        <f>B71*C71*D71</f>
        <v>0</v>
      </c>
      <c r="F71" s="15">
        <f t="shared" ref="F71:F72" si="8">E71*$G$3</f>
        <v>0</v>
      </c>
    </row>
    <row r="72" spans="1:9" ht="15.75" thickBot="1">
      <c r="A72" s="40" t="s">
        <v>48</v>
      </c>
      <c r="B72" s="41">
        <v>0</v>
      </c>
      <c r="C72" s="69">
        <v>0</v>
      </c>
      <c r="D72" s="42">
        <v>15</v>
      </c>
      <c r="E72" s="42">
        <f>D72*C72*B72</f>
        <v>0</v>
      </c>
      <c r="F72" s="15">
        <f t="shared" si="8"/>
        <v>0</v>
      </c>
    </row>
    <row r="73" spans="1:9" ht="15.75" thickBot="1">
      <c r="A73" s="260"/>
      <c r="B73" s="260"/>
      <c r="C73" s="260"/>
      <c r="D73" s="260"/>
      <c r="E73" s="261"/>
      <c r="F73" s="89">
        <f>SUM(F71:F72)</f>
        <v>0</v>
      </c>
    </row>
    <row r="74" spans="1:9" ht="4.5" customHeight="1" thickBot="1">
      <c r="A74" s="266"/>
      <c r="B74" s="260"/>
      <c r="C74" s="260"/>
      <c r="D74" s="260"/>
      <c r="E74" s="260"/>
      <c r="F74" s="261"/>
    </row>
    <row r="75" spans="1:9" ht="15.75" thickBot="1">
      <c r="A75" s="270" t="s">
        <v>50</v>
      </c>
      <c r="B75" s="271"/>
      <c r="C75" s="271"/>
      <c r="D75" s="271"/>
      <c r="E75" s="271"/>
      <c r="F75" s="272"/>
      <c r="I75" t="s">
        <v>51</v>
      </c>
    </row>
    <row r="76" spans="1:9">
      <c r="A76" s="70" t="s">
        <v>52</v>
      </c>
      <c r="B76" s="71">
        <v>1.4999999999999999E-2</v>
      </c>
      <c r="C76" s="72"/>
      <c r="D76" s="73"/>
      <c r="E76" s="72"/>
      <c r="F76" s="74"/>
    </row>
    <row r="77" spans="1:9">
      <c r="A77" s="75" t="s">
        <v>53</v>
      </c>
      <c r="B77" s="76">
        <v>1.4999999999999999E-2</v>
      </c>
      <c r="C77" s="50"/>
      <c r="D77" s="51"/>
      <c r="E77" s="50"/>
      <c r="F77" s="77"/>
      <c r="I77" t="s">
        <v>51</v>
      </c>
    </row>
    <row r="78" spans="1:9">
      <c r="A78" s="75" t="s">
        <v>54</v>
      </c>
      <c r="B78" s="76">
        <v>0.03</v>
      </c>
      <c r="C78" s="50"/>
      <c r="D78" s="51"/>
      <c r="E78" s="50"/>
      <c r="F78" s="77"/>
    </row>
    <row r="79" spans="1:9">
      <c r="A79" s="75" t="s">
        <v>55</v>
      </c>
      <c r="B79" s="76">
        <v>7.0000000000000007E-2</v>
      </c>
      <c r="C79" s="50"/>
      <c r="D79" s="51"/>
      <c r="E79" s="50"/>
      <c r="F79" s="77"/>
    </row>
    <row r="80" spans="1:9" ht="15.75" thickBot="1">
      <c r="A80" s="78" t="s">
        <v>56</v>
      </c>
      <c r="B80" s="79">
        <v>0.18</v>
      </c>
      <c r="C80" s="80"/>
      <c r="D80" s="81"/>
      <c r="E80" s="80"/>
      <c r="F80" s="82"/>
    </row>
    <row r="81" spans="1:8" ht="15.75" thickBot="1">
      <c r="A81" s="83" t="s">
        <v>33</v>
      </c>
      <c r="B81" s="84">
        <f>SUM(B76:B80)</f>
        <v>0.31</v>
      </c>
      <c r="E81"/>
    </row>
    <row r="82" spans="1:8" ht="19.5" thickBot="1">
      <c r="A82" s="273" t="s">
        <v>33</v>
      </c>
      <c r="B82" s="274"/>
      <c r="C82" s="274"/>
      <c r="D82" s="275"/>
      <c r="E82" s="276">
        <f>SUM(F67,F49,F19,F73)</f>
        <v>0</v>
      </c>
      <c r="F82" s="277"/>
      <c r="H82" s="62"/>
    </row>
    <row r="85" spans="1:8">
      <c r="F85" s="3"/>
    </row>
  </sheetData>
  <mergeCells count="16">
    <mergeCell ref="A74:F74"/>
    <mergeCell ref="A75:F75"/>
    <mergeCell ref="A82:D82"/>
    <mergeCell ref="E82:F82"/>
    <mergeCell ref="A50:F50"/>
    <mergeCell ref="A51:F51"/>
    <mergeCell ref="A67:E67"/>
    <mergeCell ref="A68:F68"/>
    <mergeCell ref="A69:E69"/>
    <mergeCell ref="A73:E73"/>
    <mergeCell ref="A49:E49"/>
    <mergeCell ref="A1:G1"/>
    <mergeCell ref="A2:G2"/>
    <mergeCell ref="A19:E19"/>
    <mergeCell ref="A20:F20"/>
    <mergeCell ref="A21:F21"/>
  </mergeCells>
  <pageMargins left="0.511811024" right="0.511811024" top="0.78740157499999996" bottom="0.78740157499999996" header="0.31496062000000002" footer="0.31496062000000002"/>
  <pageSetup paperSize="9" scale="56" orientation="portrait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84"/>
  <sheetViews>
    <sheetView view="pageBreakPreview" zoomScaleSheetLayoutView="100" workbookViewId="0">
      <selection activeCell="A18" sqref="A18"/>
    </sheetView>
  </sheetViews>
  <sheetFormatPr defaultRowHeight="15"/>
  <cols>
    <col min="1" max="1" width="30.5703125" customWidth="1"/>
    <col min="2" max="2" width="9.5703125" style="1" bestFit="1" customWidth="1"/>
    <col min="4" max="4" width="15.85546875" style="2" bestFit="1" customWidth="1"/>
    <col min="5" max="5" width="17.28515625" style="2" bestFit="1" customWidth="1"/>
    <col min="6" max="6" width="17.28515625" bestFit="1" customWidth="1"/>
    <col min="7" max="7" width="9" customWidth="1"/>
    <col min="8" max="8" width="14.28515625" bestFit="1" customWidth="1"/>
  </cols>
  <sheetData>
    <row r="1" spans="1:8" ht="43.5" customHeight="1">
      <c r="A1" s="262" t="s">
        <v>100</v>
      </c>
      <c r="B1" s="263"/>
      <c r="C1" s="263"/>
      <c r="D1" s="263"/>
      <c r="E1" s="263"/>
      <c r="F1" s="263"/>
      <c r="G1" s="263"/>
    </row>
    <row r="2" spans="1:8" ht="15.75" thickBot="1">
      <c r="A2" s="264" t="s">
        <v>30</v>
      </c>
      <c r="B2" s="265"/>
      <c r="C2" s="265"/>
      <c r="D2" s="265"/>
      <c r="E2" s="265"/>
      <c r="F2" s="265"/>
      <c r="G2" s="265"/>
    </row>
    <row r="3" spans="1:8" ht="30.75" thickBot="1">
      <c r="A3" s="29" t="s">
        <v>0</v>
      </c>
      <c r="B3" s="30" t="s">
        <v>1</v>
      </c>
      <c r="C3" s="31" t="s">
        <v>35</v>
      </c>
      <c r="D3" s="32" t="s">
        <v>11</v>
      </c>
      <c r="E3" s="32" t="s">
        <v>12</v>
      </c>
      <c r="F3" s="33" t="s">
        <v>13</v>
      </c>
      <c r="G3" s="85">
        <f>1+B80</f>
        <v>1.31</v>
      </c>
    </row>
    <row r="4" spans="1:8">
      <c r="A4" s="10" t="s">
        <v>27</v>
      </c>
      <c r="B4" s="11">
        <v>0</v>
      </c>
      <c r="C4" s="12">
        <v>0</v>
      </c>
      <c r="D4" s="13">
        <v>88</v>
      </c>
      <c r="E4" s="6">
        <f t="shared" ref="E4:E17" si="0">B4*D4*C4</f>
        <v>0</v>
      </c>
      <c r="F4" s="60">
        <f>E4*$G$3</f>
        <v>0</v>
      </c>
    </row>
    <row r="5" spans="1:8">
      <c r="A5" s="52" t="s">
        <v>43</v>
      </c>
      <c r="B5" s="53">
        <v>0</v>
      </c>
      <c r="C5" s="54">
        <v>0</v>
      </c>
      <c r="D5" s="55">
        <v>90</v>
      </c>
      <c r="E5" s="6">
        <f t="shared" si="0"/>
        <v>0</v>
      </c>
      <c r="F5" s="15">
        <f>E5*$G$3</f>
        <v>0</v>
      </c>
    </row>
    <row r="6" spans="1:8">
      <c r="A6" s="14" t="s">
        <v>28</v>
      </c>
      <c r="B6" s="7">
        <v>0</v>
      </c>
      <c r="C6" s="8">
        <v>0</v>
      </c>
      <c r="D6" s="9">
        <v>56</v>
      </c>
      <c r="E6" s="6">
        <f t="shared" si="0"/>
        <v>0</v>
      </c>
      <c r="F6" s="15">
        <f t="shared" ref="F6:F18" si="1">E6*$G$3</f>
        <v>0</v>
      </c>
    </row>
    <row r="7" spans="1:8">
      <c r="A7" s="14" t="s">
        <v>21</v>
      </c>
      <c r="B7" s="7">
        <v>0</v>
      </c>
      <c r="C7" s="4">
        <v>0</v>
      </c>
      <c r="D7" s="9">
        <v>95</v>
      </c>
      <c r="E7" s="6">
        <f t="shared" si="0"/>
        <v>0</v>
      </c>
      <c r="F7" s="15">
        <f t="shared" si="1"/>
        <v>0</v>
      </c>
    </row>
    <row r="8" spans="1:8">
      <c r="A8" s="14" t="s">
        <v>22</v>
      </c>
      <c r="B8" s="7">
        <v>0</v>
      </c>
      <c r="C8" s="4">
        <v>0</v>
      </c>
      <c r="D8" s="9">
        <v>53</v>
      </c>
      <c r="E8" s="6">
        <f t="shared" si="0"/>
        <v>0</v>
      </c>
      <c r="F8" s="15">
        <f t="shared" si="1"/>
        <v>0</v>
      </c>
    </row>
    <row r="9" spans="1:8">
      <c r="A9" s="14" t="s">
        <v>36</v>
      </c>
      <c r="B9" s="7">
        <v>0</v>
      </c>
      <c r="C9" s="4">
        <v>0</v>
      </c>
      <c r="D9" s="9">
        <v>53</v>
      </c>
      <c r="E9" s="6">
        <f t="shared" si="0"/>
        <v>0</v>
      </c>
      <c r="F9" s="15">
        <f t="shared" si="1"/>
        <v>0</v>
      </c>
    </row>
    <row r="10" spans="1:8">
      <c r="A10" s="14" t="s">
        <v>23</v>
      </c>
      <c r="B10" s="7">
        <v>0</v>
      </c>
      <c r="C10" s="4">
        <v>0</v>
      </c>
      <c r="D10" s="9">
        <v>40</v>
      </c>
      <c r="E10" s="6">
        <f t="shared" si="0"/>
        <v>0</v>
      </c>
      <c r="F10" s="15">
        <f t="shared" si="1"/>
        <v>0</v>
      </c>
    </row>
    <row r="11" spans="1:8">
      <c r="A11" s="16" t="s">
        <v>14</v>
      </c>
      <c r="B11" s="5">
        <v>0</v>
      </c>
      <c r="C11" s="4">
        <v>0</v>
      </c>
      <c r="D11" s="6">
        <v>110</v>
      </c>
      <c r="E11" s="6">
        <f t="shared" si="0"/>
        <v>0</v>
      </c>
      <c r="F11" s="15">
        <f t="shared" si="1"/>
        <v>0</v>
      </c>
    </row>
    <row r="12" spans="1:8">
      <c r="A12" s="16" t="s">
        <v>37</v>
      </c>
      <c r="B12" s="5">
        <v>0</v>
      </c>
      <c r="C12" s="4">
        <v>0</v>
      </c>
      <c r="D12" s="6">
        <v>53</v>
      </c>
      <c r="E12" s="6">
        <f t="shared" si="0"/>
        <v>0</v>
      </c>
      <c r="F12" s="15">
        <f t="shared" si="1"/>
        <v>0</v>
      </c>
      <c r="H12" t="s">
        <v>51</v>
      </c>
    </row>
    <row r="13" spans="1:8">
      <c r="A13" s="16" t="s">
        <v>15</v>
      </c>
      <c r="B13" s="5">
        <v>0</v>
      </c>
      <c r="C13" s="4">
        <v>0</v>
      </c>
      <c r="D13" s="6">
        <v>70</v>
      </c>
      <c r="E13" s="6">
        <f t="shared" si="0"/>
        <v>0</v>
      </c>
      <c r="F13" s="15">
        <f t="shared" si="1"/>
        <v>0</v>
      </c>
    </row>
    <row r="14" spans="1:8">
      <c r="A14" s="16" t="s">
        <v>41</v>
      </c>
      <c r="B14" s="5">
        <v>0</v>
      </c>
      <c r="C14" s="4">
        <v>0</v>
      </c>
      <c r="D14" s="6">
        <v>50</v>
      </c>
      <c r="E14" s="6">
        <f>B14*D14*C14</f>
        <v>0</v>
      </c>
      <c r="F14" s="15">
        <f t="shared" si="1"/>
        <v>0</v>
      </c>
      <c r="G14" s="49"/>
    </row>
    <row r="15" spans="1:8">
      <c r="A15" s="16" t="s">
        <v>9</v>
      </c>
      <c r="B15" s="5">
        <v>0</v>
      </c>
      <c r="C15" s="4">
        <v>0</v>
      </c>
      <c r="D15" s="6">
        <v>4.5</v>
      </c>
      <c r="E15" s="6">
        <f t="shared" si="0"/>
        <v>0</v>
      </c>
      <c r="F15" s="17">
        <f t="shared" si="1"/>
        <v>0</v>
      </c>
      <c r="H15" t="s">
        <v>51</v>
      </c>
    </row>
    <row r="16" spans="1:8">
      <c r="A16" s="16" t="s">
        <v>10</v>
      </c>
      <c r="B16" s="5">
        <v>0</v>
      </c>
      <c r="C16" s="4">
        <v>0</v>
      </c>
      <c r="D16" s="6">
        <v>4.5</v>
      </c>
      <c r="E16" s="6">
        <f t="shared" si="0"/>
        <v>0</v>
      </c>
      <c r="F16" s="17">
        <f t="shared" si="1"/>
        <v>0</v>
      </c>
    </row>
    <row r="17" spans="1:7" ht="15.75" thickBot="1">
      <c r="A17" s="34" t="s">
        <v>20</v>
      </c>
      <c r="B17" s="35">
        <v>0</v>
      </c>
      <c r="C17" s="36">
        <v>0</v>
      </c>
      <c r="D17" s="37">
        <v>4.5</v>
      </c>
      <c r="E17" s="6">
        <f t="shared" si="0"/>
        <v>0</v>
      </c>
      <c r="F17" s="39">
        <f t="shared" si="1"/>
        <v>0</v>
      </c>
    </row>
    <row r="18" spans="1:7" ht="15.75" thickBot="1">
      <c r="A18" s="18" t="s">
        <v>79</v>
      </c>
      <c r="B18" s="19">
        <v>0</v>
      </c>
      <c r="C18" s="20">
        <v>0</v>
      </c>
      <c r="D18" s="21">
        <v>0</v>
      </c>
      <c r="E18" s="21">
        <f>D18</f>
        <v>0</v>
      </c>
      <c r="F18" s="22">
        <f t="shared" si="1"/>
        <v>0</v>
      </c>
      <c r="G18" s="61" t="s">
        <v>42</v>
      </c>
    </row>
    <row r="19" spans="1:7" ht="15.75" thickBot="1">
      <c r="A19" s="260"/>
      <c r="B19" s="260"/>
      <c r="C19" s="260"/>
      <c r="D19" s="260"/>
      <c r="E19" s="261"/>
      <c r="F19" s="88">
        <f>SUM(F4:F18)</f>
        <v>0</v>
      </c>
    </row>
    <row r="20" spans="1:7" ht="5.25" customHeight="1" thickBot="1">
      <c r="A20" s="266"/>
      <c r="B20" s="260"/>
      <c r="C20" s="260"/>
      <c r="D20" s="260"/>
      <c r="E20" s="260"/>
      <c r="F20" s="261"/>
    </row>
    <row r="21" spans="1:7" ht="15.75" thickBot="1">
      <c r="A21" s="267" t="s">
        <v>31</v>
      </c>
      <c r="B21" s="268"/>
      <c r="C21" s="268"/>
      <c r="D21" s="268"/>
      <c r="E21" s="268"/>
      <c r="F21" s="269"/>
    </row>
    <row r="22" spans="1:7">
      <c r="A22" s="23" t="s">
        <v>29</v>
      </c>
      <c r="B22" s="24">
        <f t="shared" ref="B22:C32" si="2">B4</f>
        <v>0</v>
      </c>
      <c r="C22" s="25">
        <f t="shared" si="2"/>
        <v>0</v>
      </c>
      <c r="D22" s="59">
        <f>(3000*2.6)/220</f>
        <v>35.454545454545453</v>
      </c>
      <c r="E22" s="6">
        <f t="shared" ref="E22:E31" si="3">B22*D22*C22</f>
        <v>0</v>
      </c>
      <c r="F22" s="60">
        <f t="shared" ref="F22:F48" si="4">E22*$G$3</f>
        <v>0</v>
      </c>
    </row>
    <row r="23" spans="1:7">
      <c r="A23" s="56" t="s">
        <v>44</v>
      </c>
      <c r="B23" s="57">
        <f t="shared" si="2"/>
        <v>0</v>
      </c>
      <c r="C23" s="58">
        <f t="shared" si="2"/>
        <v>0</v>
      </c>
      <c r="D23" s="6">
        <f>(3000*2.6)/220</f>
        <v>35.454545454545453</v>
      </c>
      <c r="E23" s="6">
        <f t="shared" si="3"/>
        <v>0</v>
      </c>
      <c r="F23" s="15">
        <f t="shared" si="4"/>
        <v>0</v>
      </c>
    </row>
    <row r="24" spans="1:7">
      <c r="A24" s="16" t="s">
        <v>34</v>
      </c>
      <c r="B24" s="5">
        <f t="shared" si="2"/>
        <v>0</v>
      </c>
      <c r="C24" s="4">
        <f t="shared" si="2"/>
        <v>0</v>
      </c>
      <c r="D24" s="6">
        <f>(1800*2.6)/220</f>
        <v>21.272727272727273</v>
      </c>
      <c r="E24" s="6">
        <f t="shared" si="3"/>
        <v>0</v>
      </c>
      <c r="F24" s="15">
        <f t="shared" si="4"/>
        <v>0</v>
      </c>
    </row>
    <row r="25" spans="1:7">
      <c r="A25" s="14" t="s">
        <v>24</v>
      </c>
      <c r="B25" s="7">
        <f t="shared" si="2"/>
        <v>0</v>
      </c>
      <c r="C25" s="4">
        <f t="shared" si="2"/>
        <v>0</v>
      </c>
      <c r="D25" s="6">
        <f>(3300*2.6)/220</f>
        <v>39</v>
      </c>
      <c r="E25" s="6">
        <f t="shared" si="3"/>
        <v>0</v>
      </c>
      <c r="F25" s="15">
        <f t="shared" si="4"/>
        <v>0</v>
      </c>
    </row>
    <row r="26" spans="1:7">
      <c r="A26" s="14" t="s">
        <v>25</v>
      </c>
      <c r="B26" s="7">
        <f t="shared" si="2"/>
        <v>0</v>
      </c>
      <c r="C26" s="4">
        <f t="shared" si="2"/>
        <v>0</v>
      </c>
      <c r="D26" s="6">
        <f>(1500*2.6)/220</f>
        <v>17.727272727272727</v>
      </c>
      <c r="E26" s="6">
        <f t="shared" si="3"/>
        <v>0</v>
      </c>
      <c r="F26" s="15">
        <f t="shared" si="4"/>
        <v>0</v>
      </c>
    </row>
    <row r="27" spans="1:7">
      <c r="A27" s="14" t="s">
        <v>38</v>
      </c>
      <c r="B27" s="7">
        <f t="shared" si="2"/>
        <v>0</v>
      </c>
      <c r="C27" s="4">
        <f t="shared" si="2"/>
        <v>0</v>
      </c>
      <c r="D27" s="6">
        <f>(1500*2.6)/220</f>
        <v>17.727272727272727</v>
      </c>
      <c r="E27" s="6">
        <f t="shared" si="3"/>
        <v>0</v>
      </c>
      <c r="F27" s="15">
        <f t="shared" si="4"/>
        <v>0</v>
      </c>
    </row>
    <row r="28" spans="1:7">
      <c r="A28" s="14" t="s">
        <v>26</v>
      </c>
      <c r="B28" s="7">
        <f t="shared" si="2"/>
        <v>0</v>
      </c>
      <c r="C28" s="4">
        <v>0</v>
      </c>
      <c r="D28" s="6">
        <f>(1500*2.6)/220</f>
        <v>17.727272727272727</v>
      </c>
      <c r="E28" s="6">
        <f t="shared" si="3"/>
        <v>0</v>
      </c>
      <c r="F28" s="15">
        <f t="shared" si="4"/>
        <v>0</v>
      </c>
    </row>
    <row r="29" spans="1:7">
      <c r="A29" s="16" t="s">
        <v>16</v>
      </c>
      <c r="B29" s="5">
        <f t="shared" si="2"/>
        <v>0</v>
      </c>
      <c r="C29" s="4">
        <f>C11</f>
        <v>0</v>
      </c>
      <c r="D29" s="6">
        <f>(2000*2.26)/220</f>
        <v>20.545454545454547</v>
      </c>
      <c r="E29" s="6">
        <f t="shared" si="3"/>
        <v>0</v>
      </c>
      <c r="F29" s="15">
        <f t="shared" si="4"/>
        <v>0</v>
      </c>
    </row>
    <row r="30" spans="1:7">
      <c r="A30" s="16" t="s">
        <v>39</v>
      </c>
      <c r="B30" s="5">
        <f t="shared" si="2"/>
        <v>0</v>
      </c>
      <c r="C30" s="4">
        <f>C12</f>
        <v>0</v>
      </c>
      <c r="D30" s="6">
        <f>(1500*2.26)/220</f>
        <v>15.409090909090907</v>
      </c>
      <c r="E30" s="6">
        <f t="shared" si="3"/>
        <v>0</v>
      </c>
      <c r="F30" s="15">
        <f t="shared" si="4"/>
        <v>0</v>
      </c>
    </row>
    <row r="31" spans="1:7">
      <c r="A31" s="16" t="s">
        <v>17</v>
      </c>
      <c r="B31" s="5">
        <f t="shared" si="2"/>
        <v>0</v>
      </c>
      <c r="C31" s="4">
        <f>C13</f>
        <v>0</v>
      </c>
      <c r="D31" s="6">
        <f>(3000*2.26)/220</f>
        <v>30.818181818181813</v>
      </c>
      <c r="E31" s="6">
        <f t="shared" si="3"/>
        <v>0</v>
      </c>
      <c r="F31" s="15">
        <f t="shared" si="4"/>
        <v>0</v>
      </c>
    </row>
    <row r="32" spans="1:7">
      <c r="A32" s="16" t="s">
        <v>45</v>
      </c>
      <c r="B32" s="5">
        <f t="shared" si="2"/>
        <v>0</v>
      </c>
      <c r="C32" s="4">
        <f>C14</f>
        <v>0</v>
      </c>
      <c r="D32" s="6">
        <f>(1500*2.26)/220</f>
        <v>15.409090909090907</v>
      </c>
      <c r="E32" s="6">
        <f>B32*D32*C32</f>
        <v>0</v>
      </c>
      <c r="F32" s="15">
        <f t="shared" si="4"/>
        <v>0</v>
      </c>
    </row>
    <row r="33" spans="1:6">
      <c r="A33" s="16" t="s">
        <v>2</v>
      </c>
      <c r="B33" s="5">
        <f>B17</f>
        <v>0</v>
      </c>
      <c r="C33" s="4">
        <f>C17</f>
        <v>0</v>
      </c>
      <c r="D33" s="6">
        <f>(5000*2.26)/220</f>
        <v>51.363636363636353</v>
      </c>
      <c r="E33" s="6">
        <f t="shared" ref="E33:E48" si="5">B33*D33*C33</f>
        <v>0</v>
      </c>
      <c r="F33" s="15">
        <f t="shared" si="4"/>
        <v>0</v>
      </c>
    </row>
    <row r="34" spans="1:6">
      <c r="A34" s="16" t="s">
        <v>19</v>
      </c>
      <c r="B34" s="5">
        <v>0</v>
      </c>
      <c r="C34" s="4">
        <v>0</v>
      </c>
      <c r="D34" s="6">
        <f>(2500*2.26)/220</f>
        <v>25.681818181818176</v>
      </c>
      <c r="E34" s="6">
        <f t="shared" si="5"/>
        <v>0</v>
      </c>
      <c r="F34" s="15">
        <f t="shared" si="4"/>
        <v>0</v>
      </c>
    </row>
    <row r="35" spans="1:6">
      <c r="A35" s="16" t="s">
        <v>18</v>
      </c>
      <c r="B35" s="5">
        <v>0</v>
      </c>
      <c r="C35" s="4">
        <v>0</v>
      </c>
      <c r="D35" s="6">
        <f>(1800*2.26)/220</f>
        <v>18.490909090909089</v>
      </c>
      <c r="E35" s="6">
        <f t="shared" si="5"/>
        <v>0</v>
      </c>
      <c r="F35" s="15">
        <f t="shared" si="4"/>
        <v>0</v>
      </c>
    </row>
    <row r="36" spans="1:6">
      <c r="A36" s="16" t="s">
        <v>3</v>
      </c>
      <c r="B36" s="5">
        <v>0</v>
      </c>
      <c r="C36" s="4">
        <v>0</v>
      </c>
      <c r="D36" s="6">
        <f>(1200*2.26)/220</f>
        <v>12.327272727272724</v>
      </c>
      <c r="E36" s="6">
        <f t="shared" si="5"/>
        <v>0</v>
      </c>
      <c r="F36" s="15">
        <f t="shared" si="4"/>
        <v>0</v>
      </c>
    </row>
    <row r="37" spans="1:6">
      <c r="A37" s="16" t="s">
        <v>46</v>
      </c>
      <c r="B37" s="5">
        <v>0</v>
      </c>
      <c r="C37" s="4">
        <v>0</v>
      </c>
      <c r="D37" s="6">
        <f>(2000*2.26)/220</f>
        <v>20.545454545454547</v>
      </c>
      <c r="E37" s="6">
        <f t="shared" si="5"/>
        <v>0</v>
      </c>
      <c r="F37" s="15">
        <f t="shared" si="4"/>
        <v>0</v>
      </c>
    </row>
    <row r="38" spans="1:6">
      <c r="A38" s="16" t="s">
        <v>4</v>
      </c>
      <c r="B38" s="5">
        <v>0</v>
      </c>
      <c r="C38" s="4">
        <v>0</v>
      </c>
      <c r="D38" s="6">
        <f>(1500*2.26)/220</f>
        <v>15.409090909090907</v>
      </c>
      <c r="E38" s="6">
        <f t="shared" si="5"/>
        <v>0</v>
      </c>
      <c r="F38" s="15">
        <f t="shared" si="4"/>
        <v>0</v>
      </c>
    </row>
    <row r="39" spans="1:6">
      <c r="A39" s="16" t="s">
        <v>5</v>
      </c>
      <c r="B39" s="5">
        <f>B15</f>
        <v>0</v>
      </c>
      <c r="C39" s="4">
        <f>C15</f>
        <v>0</v>
      </c>
      <c r="D39" s="6">
        <f>(4000*2.26)/220</f>
        <v>41.090909090909093</v>
      </c>
      <c r="E39" s="6">
        <f t="shared" si="5"/>
        <v>0</v>
      </c>
      <c r="F39" s="17">
        <f t="shared" si="4"/>
        <v>0</v>
      </c>
    </row>
    <row r="40" spans="1:6">
      <c r="A40" s="16" t="s">
        <v>6</v>
      </c>
      <c r="B40" s="5">
        <v>0</v>
      </c>
      <c r="C40" s="4">
        <f>C39</f>
        <v>0</v>
      </c>
      <c r="D40" s="6">
        <f>(2400*2.26)/220</f>
        <v>24.654545454545449</v>
      </c>
      <c r="E40" s="6">
        <f>B40*D40*C40</f>
        <v>0</v>
      </c>
      <c r="F40" s="17">
        <f t="shared" si="4"/>
        <v>0</v>
      </c>
    </row>
    <row r="41" spans="1:6">
      <c r="A41" s="16" t="s">
        <v>7</v>
      </c>
      <c r="B41" s="5">
        <f>B16</f>
        <v>0</v>
      </c>
      <c r="C41" s="4">
        <f>C16</f>
        <v>0</v>
      </c>
      <c r="D41" s="6">
        <f>(3500*2.26)/220</f>
        <v>35.954545454545453</v>
      </c>
      <c r="E41" s="6">
        <f t="shared" si="5"/>
        <v>0</v>
      </c>
      <c r="F41" s="17">
        <f>E41*$G$3</f>
        <v>0</v>
      </c>
    </row>
    <row r="42" spans="1:6">
      <c r="A42" s="34" t="s">
        <v>8</v>
      </c>
      <c r="B42" s="35">
        <f>B41</f>
        <v>0</v>
      </c>
      <c r="C42" s="36">
        <f>C41</f>
        <v>0</v>
      </c>
      <c r="D42" s="37">
        <f>(1800*2.26)/220</f>
        <v>18.490909090909089</v>
      </c>
      <c r="E42" s="6">
        <f t="shared" si="5"/>
        <v>0</v>
      </c>
      <c r="F42" s="38">
        <f t="shared" si="4"/>
        <v>0</v>
      </c>
    </row>
    <row r="43" spans="1:6">
      <c r="A43" s="34" t="s">
        <v>61</v>
      </c>
      <c r="B43" s="35">
        <v>0</v>
      </c>
      <c r="C43" s="36">
        <v>0</v>
      </c>
      <c r="D43" s="37">
        <v>18</v>
      </c>
      <c r="E43" s="6">
        <f t="shared" si="5"/>
        <v>0</v>
      </c>
      <c r="F43" s="38">
        <f t="shared" si="4"/>
        <v>0</v>
      </c>
    </row>
    <row r="44" spans="1:6">
      <c r="A44" s="16" t="s">
        <v>62</v>
      </c>
      <c r="B44" s="5">
        <v>0</v>
      </c>
      <c r="C44" s="4">
        <v>0</v>
      </c>
      <c r="D44" s="6">
        <v>20</v>
      </c>
      <c r="E44" s="6">
        <f t="shared" si="5"/>
        <v>0</v>
      </c>
      <c r="F44" s="38">
        <f t="shared" si="4"/>
        <v>0</v>
      </c>
    </row>
    <row r="45" spans="1:6">
      <c r="A45" s="16" t="s">
        <v>69</v>
      </c>
      <c r="B45" s="35">
        <v>0</v>
      </c>
      <c r="C45" s="36">
        <v>0</v>
      </c>
      <c r="D45" s="37">
        <v>9.5</v>
      </c>
      <c r="E45" s="6">
        <f t="shared" si="5"/>
        <v>0</v>
      </c>
      <c r="F45" s="38">
        <f t="shared" si="4"/>
        <v>0</v>
      </c>
    </row>
    <row r="46" spans="1:6">
      <c r="A46" s="34" t="s">
        <v>60</v>
      </c>
      <c r="B46" s="35">
        <v>0</v>
      </c>
      <c r="C46" s="36">
        <v>0</v>
      </c>
      <c r="D46" s="37">
        <f>(2200*2.26)/220</f>
        <v>22.599999999999994</v>
      </c>
      <c r="E46" s="6">
        <f t="shared" si="5"/>
        <v>0</v>
      </c>
      <c r="F46" s="38">
        <f t="shared" si="4"/>
        <v>0</v>
      </c>
    </row>
    <row r="47" spans="1:6">
      <c r="A47" s="34" t="s">
        <v>66</v>
      </c>
      <c r="B47" s="35">
        <v>0</v>
      </c>
      <c r="C47" s="36">
        <v>0</v>
      </c>
      <c r="D47" s="6">
        <f>(1200*2.26)/220</f>
        <v>12.327272727272724</v>
      </c>
      <c r="E47" s="6">
        <f t="shared" si="5"/>
        <v>0</v>
      </c>
      <c r="F47" s="38">
        <f t="shared" si="4"/>
        <v>0</v>
      </c>
    </row>
    <row r="48" spans="1:6" ht="15.75" thickBot="1">
      <c r="A48" s="18" t="s">
        <v>65</v>
      </c>
      <c r="B48" s="19">
        <v>0</v>
      </c>
      <c r="C48" s="20">
        <v>0</v>
      </c>
      <c r="D48" s="21">
        <f>(4000*2.26)/220</f>
        <v>41.090909090909093</v>
      </c>
      <c r="E48" s="6">
        <f t="shared" si="5"/>
        <v>0</v>
      </c>
      <c r="F48" s="27">
        <f t="shared" si="4"/>
        <v>0</v>
      </c>
    </row>
    <row r="49" spans="1:7" ht="15.75" thickBot="1">
      <c r="A49" s="260"/>
      <c r="B49" s="260"/>
      <c r="C49" s="260"/>
      <c r="D49" s="260"/>
      <c r="E49" s="261"/>
      <c r="F49" s="88">
        <f>SUM(F22:F48)</f>
        <v>0</v>
      </c>
    </row>
    <row r="50" spans="1:7" ht="4.5" customHeight="1" thickBot="1">
      <c r="A50" s="266"/>
      <c r="B50" s="260"/>
      <c r="C50" s="260"/>
      <c r="D50" s="260"/>
      <c r="E50" s="260"/>
      <c r="F50" s="261"/>
    </row>
    <row r="51" spans="1:7" ht="15.75" thickBot="1">
      <c r="A51" s="267" t="s">
        <v>32</v>
      </c>
      <c r="B51" s="268"/>
      <c r="C51" s="268"/>
      <c r="D51" s="268"/>
      <c r="E51" s="268"/>
      <c r="F51" s="269"/>
    </row>
    <row r="52" spans="1:7">
      <c r="A52" s="23" t="s">
        <v>57</v>
      </c>
      <c r="B52" s="87">
        <v>0</v>
      </c>
      <c r="C52" s="43" t="s">
        <v>40</v>
      </c>
      <c r="D52" s="26">
        <v>250</v>
      </c>
      <c r="E52" s="46">
        <f t="shared" ref="E52:E65" si="6">D52*B52</f>
        <v>0</v>
      </c>
      <c r="F52" s="28">
        <f t="shared" ref="F52:F65" si="7">E52*$G$3</f>
        <v>0</v>
      </c>
    </row>
    <row r="53" spans="1:7">
      <c r="A53" s="16" t="s">
        <v>67</v>
      </c>
      <c r="B53" s="87">
        <v>0</v>
      </c>
      <c r="C53" s="44" t="s">
        <v>64</v>
      </c>
      <c r="D53" s="6">
        <v>195</v>
      </c>
      <c r="E53" s="47">
        <f t="shared" si="6"/>
        <v>0</v>
      </c>
      <c r="F53" s="17">
        <f t="shared" si="7"/>
        <v>0</v>
      </c>
    </row>
    <row r="54" spans="1:7">
      <c r="A54" s="34" t="s">
        <v>68</v>
      </c>
      <c r="B54" s="87">
        <v>0</v>
      </c>
      <c r="C54" s="45" t="s">
        <v>74</v>
      </c>
      <c r="D54" s="37">
        <v>1.8</v>
      </c>
      <c r="E54" s="47">
        <f t="shared" si="6"/>
        <v>0</v>
      </c>
      <c r="F54" s="17">
        <f t="shared" si="7"/>
        <v>0</v>
      </c>
      <c r="G54" s="3"/>
    </row>
    <row r="55" spans="1:7">
      <c r="A55" s="34" t="s">
        <v>73</v>
      </c>
      <c r="B55" s="87">
        <v>0</v>
      </c>
      <c r="C55" s="45" t="s">
        <v>74</v>
      </c>
      <c r="D55" s="37">
        <v>3.6</v>
      </c>
      <c r="E55" s="47">
        <f t="shared" si="6"/>
        <v>0</v>
      </c>
      <c r="F55" s="17">
        <f t="shared" si="7"/>
        <v>0</v>
      </c>
      <c r="G55" s="3"/>
    </row>
    <row r="56" spans="1:7">
      <c r="A56" s="34" t="s">
        <v>80</v>
      </c>
      <c r="B56" s="87">
        <v>0</v>
      </c>
      <c r="C56" s="45" t="s">
        <v>58</v>
      </c>
      <c r="D56" s="37">
        <v>500</v>
      </c>
      <c r="E56" s="47">
        <f t="shared" si="6"/>
        <v>0</v>
      </c>
      <c r="F56" s="17">
        <f t="shared" si="7"/>
        <v>0</v>
      </c>
      <c r="G56" s="3"/>
    </row>
    <row r="57" spans="1:7">
      <c r="A57" s="16" t="s">
        <v>78</v>
      </c>
      <c r="B57" s="87">
        <v>0</v>
      </c>
      <c r="C57" s="44" t="s">
        <v>77</v>
      </c>
      <c r="D57" s="6">
        <v>54</v>
      </c>
      <c r="E57" s="6">
        <f t="shared" si="6"/>
        <v>0</v>
      </c>
      <c r="F57" s="15">
        <f t="shared" si="7"/>
        <v>0</v>
      </c>
    </row>
    <row r="58" spans="1:7">
      <c r="A58" s="16" t="s">
        <v>81</v>
      </c>
      <c r="B58" s="87">
        <v>0</v>
      </c>
      <c r="C58" s="44" t="s">
        <v>59</v>
      </c>
      <c r="D58" s="6">
        <v>550</v>
      </c>
      <c r="E58" s="6">
        <f t="shared" si="6"/>
        <v>0</v>
      </c>
      <c r="F58" s="15">
        <f t="shared" si="7"/>
        <v>0</v>
      </c>
    </row>
    <row r="59" spans="1:7">
      <c r="A59" s="16" t="s">
        <v>83</v>
      </c>
      <c r="B59" s="87">
        <v>0</v>
      </c>
      <c r="C59" s="44" t="s">
        <v>59</v>
      </c>
      <c r="D59" s="6">
        <v>15</v>
      </c>
      <c r="E59" s="6">
        <f t="shared" si="6"/>
        <v>0</v>
      </c>
      <c r="F59" s="15">
        <f t="shared" si="7"/>
        <v>0</v>
      </c>
    </row>
    <row r="60" spans="1:7">
      <c r="A60" s="16" t="s">
        <v>84</v>
      </c>
      <c r="B60" s="87">
        <v>0</v>
      </c>
      <c r="C60" s="44" t="s">
        <v>59</v>
      </c>
      <c r="D60" s="6">
        <v>31.5</v>
      </c>
      <c r="E60" s="6">
        <f t="shared" si="6"/>
        <v>0</v>
      </c>
      <c r="F60" s="15">
        <f t="shared" si="7"/>
        <v>0</v>
      </c>
    </row>
    <row r="61" spans="1:7">
      <c r="A61" s="16" t="s">
        <v>70</v>
      </c>
      <c r="B61" s="87">
        <v>0</v>
      </c>
      <c r="C61" s="44" t="s">
        <v>63</v>
      </c>
      <c r="D61" s="6">
        <v>350</v>
      </c>
      <c r="E61" s="6">
        <f t="shared" si="6"/>
        <v>0</v>
      </c>
      <c r="F61" s="15">
        <f t="shared" si="7"/>
        <v>0</v>
      </c>
    </row>
    <row r="62" spans="1:7">
      <c r="A62" s="16" t="s">
        <v>71</v>
      </c>
      <c r="B62" s="87">
        <v>0</v>
      </c>
      <c r="C62" s="44" t="s">
        <v>58</v>
      </c>
      <c r="D62" s="6">
        <v>125</v>
      </c>
      <c r="E62" s="6">
        <f t="shared" si="6"/>
        <v>0</v>
      </c>
      <c r="F62" s="15">
        <f t="shared" si="7"/>
        <v>0</v>
      </c>
    </row>
    <row r="63" spans="1:7">
      <c r="A63" s="34" t="s">
        <v>72</v>
      </c>
      <c r="B63" s="87">
        <v>0</v>
      </c>
      <c r="C63" s="45" t="s">
        <v>63</v>
      </c>
      <c r="D63" s="37">
        <v>28</v>
      </c>
      <c r="E63" s="37">
        <f t="shared" si="6"/>
        <v>0</v>
      </c>
      <c r="F63" s="39">
        <f t="shared" si="7"/>
        <v>0</v>
      </c>
    </row>
    <row r="64" spans="1:7">
      <c r="A64" s="34" t="s">
        <v>82</v>
      </c>
      <c r="B64" s="87">
        <v>0</v>
      </c>
      <c r="C64" s="45" t="s">
        <v>58</v>
      </c>
      <c r="D64" s="37">
        <v>65</v>
      </c>
      <c r="E64" s="37">
        <f t="shared" si="6"/>
        <v>0</v>
      </c>
      <c r="F64" s="39">
        <f t="shared" si="7"/>
        <v>0</v>
      </c>
    </row>
    <row r="65" spans="1:9" ht="15.75" thickBot="1">
      <c r="A65" s="18" t="s">
        <v>76</v>
      </c>
      <c r="B65" s="87">
        <v>0</v>
      </c>
      <c r="C65" s="86" t="s">
        <v>63</v>
      </c>
      <c r="D65" s="21">
        <v>106</v>
      </c>
      <c r="E65" s="21">
        <f t="shared" si="6"/>
        <v>0</v>
      </c>
      <c r="F65" s="22">
        <f t="shared" si="7"/>
        <v>0</v>
      </c>
    </row>
    <row r="66" spans="1:9" ht="15.75" thickBot="1">
      <c r="A66" s="266"/>
      <c r="B66" s="260"/>
      <c r="C66" s="260"/>
      <c r="D66" s="260"/>
      <c r="E66" s="261"/>
      <c r="F66" s="48">
        <f>SUM(F52:F65)</f>
        <v>0</v>
      </c>
      <c r="G66" s="3"/>
      <c r="H66" s="3"/>
    </row>
    <row r="67" spans="1:9" ht="4.5" customHeight="1" thickBot="1">
      <c r="A67" s="266"/>
      <c r="B67" s="260"/>
      <c r="C67" s="260"/>
      <c r="D67" s="260"/>
      <c r="E67" s="260"/>
      <c r="F67" s="261"/>
      <c r="G67" s="3"/>
      <c r="H67" s="3"/>
    </row>
    <row r="68" spans="1:9" ht="15.75" thickBot="1">
      <c r="A68" s="278" t="s">
        <v>47</v>
      </c>
      <c r="B68" s="279"/>
      <c r="C68" s="279"/>
      <c r="D68" s="279"/>
      <c r="E68" s="280"/>
      <c r="F68" s="63"/>
    </row>
    <row r="69" spans="1:9">
      <c r="A69" s="64" t="s">
        <v>0</v>
      </c>
      <c r="B69" s="65" t="s">
        <v>1</v>
      </c>
      <c r="C69" s="66" t="s">
        <v>49</v>
      </c>
      <c r="D69" s="67" t="s">
        <v>11</v>
      </c>
      <c r="E69" s="65" t="s">
        <v>12</v>
      </c>
      <c r="F69" s="68" t="s">
        <v>13</v>
      </c>
    </row>
    <row r="70" spans="1:9">
      <c r="A70" s="16" t="s">
        <v>75</v>
      </c>
      <c r="B70" s="5">
        <v>0</v>
      </c>
      <c r="C70" s="4">
        <v>0</v>
      </c>
      <c r="D70" s="6">
        <v>18</v>
      </c>
      <c r="E70" s="6">
        <f>B70*C70*D70</f>
        <v>0</v>
      </c>
      <c r="F70" s="15">
        <f t="shared" ref="F70:F71" si="8">E70*$G$3</f>
        <v>0</v>
      </c>
    </row>
    <row r="71" spans="1:9" ht="15.75" thickBot="1">
      <c r="A71" s="40" t="s">
        <v>48</v>
      </c>
      <c r="B71" s="41">
        <v>0</v>
      </c>
      <c r="C71" s="69">
        <v>0</v>
      </c>
      <c r="D71" s="42">
        <v>15</v>
      </c>
      <c r="E71" s="42">
        <f>D71*C71*B71</f>
        <v>0</v>
      </c>
      <c r="F71" s="15">
        <f t="shared" si="8"/>
        <v>0</v>
      </c>
    </row>
    <row r="72" spans="1:9" ht="15.75" thickBot="1">
      <c r="A72" s="260"/>
      <c r="B72" s="260"/>
      <c r="C72" s="260"/>
      <c r="D72" s="260"/>
      <c r="E72" s="261"/>
      <c r="F72" s="89">
        <f>SUM(F70:F71)</f>
        <v>0</v>
      </c>
    </row>
    <row r="73" spans="1:9" ht="4.5" customHeight="1" thickBot="1">
      <c r="A73" s="266"/>
      <c r="B73" s="260"/>
      <c r="C73" s="260"/>
      <c r="D73" s="260"/>
      <c r="E73" s="260"/>
      <c r="F73" s="261"/>
    </row>
    <row r="74" spans="1:9" ht="15.75" thickBot="1">
      <c r="A74" s="270" t="s">
        <v>50</v>
      </c>
      <c r="B74" s="271"/>
      <c r="C74" s="271"/>
      <c r="D74" s="271"/>
      <c r="E74" s="271"/>
      <c r="F74" s="272"/>
      <c r="I74" t="s">
        <v>51</v>
      </c>
    </row>
    <row r="75" spans="1:9">
      <c r="A75" s="70" t="s">
        <v>52</v>
      </c>
      <c r="B75" s="71">
        <v>1.4999999999999999E-2</v>
      </c>
      <c r="C75" s="72"/>
      <c r="D75" s="73"/>
      <c r="E75" s="72"/>
      <c r="F75" s="74"/>
    </row>
    <row r="76" spans="1:9">
      <c r="A76" s="75" t="s">
        <v>53</v>
      </c>
      <c r="B76" s="76">
        <v>1.4999999999999999E-2</v>
      </c>
      <c r="C76" s="50"/>
      <c r="D76" s="51"/>
      <c r="E76" s="50"/>
      <c r="F76" s="77"/>
      <c r="I76" t="s">
        <v>51</v>
      </c>
    </row>
    <row r="77" spans="1:9">
      <c r="A77" s="75" t="s">
        <v>54</v>
      </c>
      <c r="B77" s="76">
        <v>0.03</v>
      </c>
      <c r="C77" s="50"/>
      <c r="D77" s="51"/>
      <c r="E77" s="50"/>
      <c r="F77" s="77"/>
    </row>
    <row r="78" spans="1:9">
      <c r="A78" s="75" t="s">
        <v>55</v>
      </c>
      <c r="B78" s="76">
        <v>7.0000000000000007E-2</v>
      </c>
      <c r="C78" s="50"/>
      <c r="D78" s="51"/>
      <c r="E78" s="50"/>
      <c r="F78" s="77"/>
    </row>
    <row r="79" spans="1:9" ht="15.75" thickBot="1">
      <c r="A79" s="78" t="s">
        <v>56</v>
      </c>
      <c r="B79" s="79">
        <v>0.18</v>
      </c>
      <c r="C79" s="80"/>
      <c r="D79" s="81"/>
      <c r="E79" s="80"/>
      <c r="F79" s="82"/>
    </row>
    <row r="80" spans="1:9" ht="15.75" thickBot="1">
      <c r="A80" s="83" t="s">
        <v>33</v>
      </c>
      <c r="B80" s="84">
        <f>SUM(B75:B79)</f>
        <v>0.31</v>
      </c>
      <c r="E80"/>
    </row>
    <row r="81" spans="1:8" ht="19.5" thickBot="1">
      <c r="A81" s="273" t="s">
        <v>33</v>
      </c>
      <c r="B81" s="274"/>
      <c r="C81" s="274"/>
      <c r="D81" s="275"/>
      <c r="E81" s="276">
        <f>SUM(F66,F49,F19,F72)</f>
        <v>0</v>
      </c>
      <c r="F81" s="277"/>
      <c r="H81" s="62"/>
    </row>
    <row r="84" spans="1:8">
      <c r="F84" s="3"/>
    </row>
  </sheetData>
  <mergeCells count="16">
    <mergeCell ref="A73:F73"/>
    <mergeCell ref="A74:F74"/>
    <mergeCell ref="A81:D81"/>
    <mergeCell ref="E81:F81"/>
    <mergeCell ref="A50:F50"/>
    <mergeCell ref="A51:F51"/>
    <mergeCell ref="A66:E66"/>
    <mergeCell ref="A67:F67"/>
    <mergeCell ref="A68:E68"/>
    <mergeCell ref="A72:E72"/>
    <mergeCell ref="A49:E49"/>
    <mergeCell ref="A1:G1"/>
    <mergeCell ref="A2:G2"/>
    <mergeCell ref="A19:E19"/>
    <mergeCell ref="A20:F20"/>
    <mergeCell ref="A21:F21"/>
  </mergeCells>
  <pageMargins left="0.511811024" right="0.511811024" top="0.78740157499999996" bottom="0.78740157499999996" header="0.31496062000000002" footer="0.31496062000000002"/>
  <pageSetup paperSize="9" scale="56" orientation="portrait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I84"/>
  <sheetViews>
    <sheetView view="pageBreakPreview" zoomScaleSheetLayoutView="100" workbookViewId="0">
      <selection activeCell="A18" sqref="A18"/>
    </sheetView>
  </sheetViews>
  <sheetFormatPr defaultRowHeight="15"/>
  <cols>
    <col min="1" max="1" width="30.5703125" customWidth="1"/>
    <col min="2" max="2" width="9.5703125" style="1" bestFit="1" customWidth="1"/>
    <col min="4" max="4" width="15.85546875" style="2" bestFit="1" customWidth="1"/>
    <col min="5" max="5" width="17.28515625" style="2" bestFit="1" customWidth="1"/>
    <col min="6" max="6" width="17.28515625" bestFit="1" customWidth="1"/>
    <col min="7" max="7" width="9" customWidth="1"/>
    <col min="8" max="8" width="14.28515625" bestFit="1" customWidth="1"/>
  </cols>
  <sheetData>
    <row r="1" spans="1:8" ht="43.5" customHeight="1">
      <c r="A1" s="262" t="s">
        <v>100</v>
      </c>
      <c r="B1" s="263"/>
      <c r="C1" s="263"/>
      <c r="D1" s="263"/>
      <c r="E1" s="263"/>
      <c r="F1" s="263"/>
      <c r="G1" s="263"/>
    </row>
    <row r="2" spans="1:8" ht="15.75" thickBot="1">
      <c r="A2" s="264" t="s">
        <v>30</v>
      </c>
      <c r="B2" s="265"/>
      <c r="C2" s="265"/>
      <c r="D2" s="265"/>
      <c r="E2" s="265"/>
      <c r="F2" s="265"/>
      <c r="G2" s="265"/>
    </row>
    <row r="3" spans="1:8" ht="30.75" thickBot="1">
      <c r="A3" s="29" t="s">
        <v>0</v>
      </c>
      <c r="B3" s="30" t="s">
        <v>1</v>
      </c>
      <c r="C3" s="31" t="s">
        <v>35</v>
      </c>
      <c r="D3" s="32" t="s">
        <v>11</v>
      </c>
      <c r="E3" s="32" t="s">
        <v>12</v>
      </c>
      <c r="F3" s="33" t="s">
        <v>13</v>
      </c>
      <c r="G3" s="85">
        <f>1+B80</f>
        <v>1.31</v>
      </c>
    </row>
    <row r="4" spans="1:8">
      <c r="A4" s="10" t="s">
        <v>27</v>
      </c>
      <c r="B4" s="11">
        <v>0</v>
      </c>
      <c r="C4" s="12">
        <v>0</v>
      </c>
      <c r="D4" s="13">
        <v>88</v>
      </c>
      <c r="E4" s="6">
        <f t="shared" ref="E4:E17" si="0">B4*D4*C4</f>
        <v>0</v>
      </c>
      <c r="F4" s="60">
        <f>E4*$G$3</f>
        <v>0</v>
      </c>
    </row>
    <row r="5" spans="1:8">
      <c r="A5" s="52" t="s">
        <v>43</v>
      </c>
      <c r="B5" s="53">
        <v>0</v>
      </c>
      <c r="C5" s="54">
        <v>0</v>
      </c>
      <c r="D5" s="55">
        <v>90</v>
      </c>
      <c r="E5" s="6">
        <f t="shared" si="0"/>
        <v>0</v>
      </c>
      <c r="F5" s="15">
        <f>E5*$G$3</f>
        <v>0</v>
      </c>
    </row>
    <row r="6" spans="1:8">
      <c r="A6" s="14" t="s">
        <v>28</v>
      </c>
      <c r="B6" s="7">
        <v>0</v>
      </c>
      <c r="C6" s="8">
        <v>0</v>
      </c>
      <c r="D6" s="9">
        <v>56</v>
      </c>
      <c r="E6" s="6">
        <f t="shared" si="0"/>
        <v>0</v>
      </c>
      <c r="F6" s="15">
        <f t="shared" ref="F6:F18" si="1">E6*$G$3</f>
        <v>0</v>
      </c>
    </row>
    <row r="7" spans="1:8">
      <c r="A7" s="14" t="s">
        <v>21</v>
      </c>
      <c r="B7" s="7">
        <v>0</v>
      </c>
      <c r="C7" s="4">
        <v>0</v>
      </c>
      <c r="D7" s="9">
        <v>95</v>
      </c>
      <c r="E7" s="6">
        <f t="shared" si="0"/>
        <v>0</v>
      </c>
      <c r="F7" s="15">
        <f t="shared" si="1"/>
        <v>0</v>
      </c>
    </row>
    <row r="8" spans="1:8">
      <c r="A8" s="14" t="s">
        <v>22</v>
      </c>
      <c r="B8" s="7">
        <v>0</v>
      </c>
      <c r="C8" s="4">
        <v>0</v>
      </c>
      <c r="D8" s="9">
        <v>53</v>
      </c>
      <c r="E8" s="6">
        <f t="shared" si="0"/>
        <v>0</v>
      </c>
      <c r="F8" s="15">
        <f t="shared" si="1"/>
        <v>0</v>
      </c>
    </row>
    <row r="9" spans="1:8">
      <c r="A9" s="14" t="s">
        <v>36</v>
      </c>
      <c r="B9" s="7">
        <v>0</v>
      </c>
      <c r="C9" s="4">
        <v>0</v>
      </c>
      <c r="D9" s="9">
        <v>53</v>
      </c>
      <c r="E9" s="6">
        <f t="shared" si="0"/>
        <v>0</v>
      </c>
      <c r="F9" s="15">
        <f t="shared" si="1"/>
        <v>0</v>
      </c>
    </row>
    <row r="10" spans="1:8">
      <c r="A10" s="14" t="s">
        <v>23</v>
      </c>
      <c r="B10" s="7">
        <v>0</v>
      </c>
      <c r="C10" s="4">
        <v>0</v>
      </c>
      <c r="D10" s="9">
        <v>40</v>
      </c>
      <c r="E10" s="6">
        <f t="shared" si="0"/>
        <v>0</v>
      </c>
      <c r="F10" s="15">
        <f t="shared" si="1"/>
        <v>0</v>
      </c>
    </row>
    <row r="11" spans="1:8">
      <c r="A11" s="16" t="s">
        <v>14</v>
      </c>
      <c r="B11" s="5">
        <v>0</v>
      </c>
      <c r="C11" s="4">
        <v>0</v>
      </c>
      <c r="D11" s="6">
        <v>110</v>
      </c>
      <c r="E11" s="6">
        <f t="shared" si="0"/>
        <v>0</v>
      </c>
      <c r="F11" s="15">
        <f t="shared" si="1"/>
        <v>0</v>
      </c>
    </row>
    <row r="12" spans="1:8">
      <c r="A12" s="16" t="s">
        <v>37</v>
      </c>
      <c r="B12" s="5">
        <v>0</v>
      </c>
      <c r="C12" s="4">
        <v>0</v>
      </c>
      <c r="D12" s="6">
        <v>53</v>
      </c>
      <c r="E12" s="6">
        <f t="shared" si="0"/>
        <v>0</v>
      </c>
      <c r="F12" s="15">
        <f t="shared" si="1"/>
        <v>0</v>
      </c>
      <c r="H12" t="s">
        <v>51</v>
      </c>
    </row>
    <row r="13" spans="1:8">
      <c r="A13" s="16" t="s">
        <v>15</v>
      </c>
      <c r="B13" s="5">
        <v>0</v>
      </c>
      <c r="C13" s="4">
        <v>0</v>
      </c>
      <c r="D13" s="6">
        <v>70</v>
      </c>
      <c r="E13" s="6">
        <f t="shared" si="0"/>
        <v>0</v>
      </c>
      <c r="F13" s="15">
        <f t="shared" si="1"/>
        <v>0</v>
      </c>
    </row>
    <row r="14" spans="1:8">
      <c r="A14" s="16" t="s">
        <v>41</v>
      </c>
      <c r="B14" s="5">
        <v>0</v>
      </c>
      <c r="C14" s="4">
        <v>0</v>
      </c>
      <c r="D14" s="6">
        <v>50</v>
      </c>
      <c r="E14" s="6">
        <f>B14*D14*C14</f>
        <v>0</v>
      </c>
      <c r="F14" s="15">
        <f t="shared" si="1"/>
        <v>0</v>
      </c>
      <c r="G14" s="49"/>
    </row>
    <row r="15" spans="1:8">
      <c r="A15" s="16" t="s">
        <v>9</v>
      </c>
      <c r="B15" s="5">
        <v>0</v>
      </c>
      <c r="C15" s="4">
        <v>0</v>
      </c>
      <c r="D15" s="6">
        <v>4.5</v>
      </c>
      <c r="E15" s="6">
        <f t="shared" si="0"/>
        <v>0</v>
      </c>
      <c r="F15" s="17">
        <f t="shared" si="1"/>
        <v>0</v>
      </c>
      <c r="H15" t="s">
        <v>51</v>
      </c>
    </row>
    <row r="16" spans="1:8">
      <c r="A16" s="16" t="s">
        <v>10</v>
      </c>
      <c r="B16" s="5">
        <v>0</v>
      </c>
      <c r="C16" s="4">
        <v>0</v>
      </c>
      <c r="D16" s="6">
        <v>4.5</v>
      </c>
      <c r="E16" s="6">
        <f t="shared" si="0"/>
        <v>0</v>
      </c>
      <c r="F16" s="17">
        <f t="shared" si="1"/>
        <v>0</v>
      </c>
    </row>
    <row r="17" spans="1:7" ht="15.75" thickBot="1">
      <c r="A17" s="34" t="s">
        <v>20</v>
      </c>
      <c r="B17" s="35">
        <v>0</v>
      </c>
      <c r="C17" s="36">
        <v>0</v>
      </c>
      <c r="D17" s="37">
        <v>4.5</v>
      </c>
      <c r="E17" s="6">
        <f t="shared" si="0"/>
        <v>0</v>
      </c>
      <c r="F17" s="39">
        <f t="shared" si="1"/>
        <v>0</v>
      </c>
    </row>
    <row r="18" spans="1:7" ht="15.75" thickBot="1">
      <c r="A18" s="18" t="s">
        <v>79</v>
      </c>
      <c r="B18" s="19">
        <v>0</v>
      </c>
      <c r="C18" s="20">
        <v>0</v>
      </c>
      <c r="D18" s="21">
        <v>0</v>
      </c>
      <c r="E18" s="21">
        <f>D18</f>
        <v>0</v>
      </c>
      <c r="F18" s="22">
        <f t="shared" si="1"/>
        <v>0</v>
      </c>
      <c r="G18" s="61" t="s">
        <v>42</v>
      </c>
    </row>
    <row r="19" spans="1:7" ht="15.75" thickBot="1">
      <c r="A19" s="260"/>
      <c r="B19" s="260"/>
      <c r="C19" s="260"/>
      <c r="D19" s="260"/>
      <c r="E19" s="261"/>
      <c r="F19" s="88">
        <f>SUM(F4:F18)</f>
        <v>0</v>
      </c>
    </row>
    <row r="20" spans="1:7" ht="5.25" customHeight="1" thickBot="1">
      <c r="A20" s="266"/>
      <c r="B20" s="260"/>
      <c r="C20" s="260"/>
      <c r="D20" s="260"/>
      <c r="E20" s="260"/>
      <c r="F20" s="261"/>
    </row>
    <row r="21" spans="1:7" ht="15.75" thickBot="1">
      <c r="A21" s="267" t="s">
        <v>31</v>
      </c>
      <c r="B21" s="268"/>
      <c r="C21" s="268"/>
      <c r="D21" s="268"/>
      <c r="E21" s="268"/>
      <c r="F21" s="269"/>
    </row>
    <row r="22" spans="1:7">
      <c r="A22" s="23" t="s">
        <v>29</v>
      </c>
      <c r="B22" s="24">
        <f t="shared" ref="B22:C32" si="2">B4</f>
        <v>0</v>
      </c>
      <c r="C22" s="25">
        <f t="shared" si="2"/>
        <v>0</v>
      </c>
      <c r="D22" s="59">
        <f>(3000*2.6)/220</f>
        <v>35.454545454545453</v>
      </c>
      <c r="E22" s="6">
        <f t="shared" ref="E22:E31" si="3">B22*D22*C22</f>
        <v>0</v>
      </c>
      <c r="F22" s="60">
        <f t="shared" ref="F22:F48" si="4">E22*$G$3</f>
        <v>0</v>
      </c>
    </row>
    <row r="23" spans="1:7">
      <c r="A23" s="56" t="s">
        <v>44</v>
      </c>
      <c r="B23" s="57">
        <f t="shared" si="2"/>
        <v>0</v>
      </c>
      <c r="C23" s="58">
        <f t="shared" si="2"/>
        <v>0</v>
      </c>
      <c r="D23" s="6">
        <f>(3000*2.6)/220</f>
        <v>35.454545454545453</v>
      </c>
      <c r="E23" s="6">
        <f t="shared" si="3"/>
        <v>0</v>
      </c>
      <c r="F23" s="15">
        <f t="shared" si="4"/>
        <v>0</v>
      </c>
    </row>
    <row r="24" spans="1:7">
      <c r="A24" s="16" t="s">
        <v>34</v>
      </c>
      <c r="B24" s="5">
        <f t="shared" si="2"/>
        <v>0</v>
      </c>
      <c r="C24" s="4">
        <f t="shared" si="2"/>
        <v>0</v>
      </c>
      <c r="D24" s="6">
        <f>(1800*2.6)/220</f>
        <v>21.272727272727273</v>
      </c>
      <c r="E24" s="6">
        <f t="shared" si="3"/>
        <v>0</v>
      </c>
      <c r="F24" s="15">
        <f t="shared" si="4"/>
        <v>0</v>
      </c>
    </row>
    <row r="25" spans="1:7">
      <c r="A25" s="14" t="s">
        <v>24</v>
      </c>
      <c r="B25" s="7">
        <f t="shared" si="2"/>
        <v>0</v>
      </c>
      <c r="C25" s="4">
        <f t="shared" si="2"/>
        <v>0</v>
      </c>
      <c r="D25" s="6">
        <f>(3300*2.6)/220</f>
        <v>39</v>
      </c>
      <c r="E25" s="6">
        <f t="shared" si="3"/>
        <v>0</v>
      </c>
      <c r="F25" s="15">
        <f t="shared" si="4"/>
        <v>0</v>
      </c>
    </row>
    <row r="26" spans="1:7">
      <c r="A26" s="14" t="s">
        <v>25</v>
      </c>
      <c r="B26" s="7">
        <f t="shared" si="2"/>
        <v>0</v>
      </c>
      <c r="C26" s="4">
        <f t="shared" si="2"/>
        <v>0</v>
      </c>
      <c r="D26" s="6">
        <f>(1500*2.6)/220</f>
        <v>17.727272727272727</v>
      </c>
      <c r="E26" s="6">
        <f t="shared" si="3"/>
        <v>0</v>
      </c>
      <c r="F26" s="15">
        <f t="shared" si="4"/>
        <v>0</v>
      </c>
    </row>
    <row r="27" spans="1:7">
      <c r="A27" s="14" t="s">
        <v>38</v>
      </c>
      <c r="B27" s="7">
        <f t="shared" si="2"/>
        <v>0</v>
      </c>
      <c r="C27" s="4">
        <f t="shared" si="2"/>
        <v>0</v>
      </c>
      <c r="D27" s="6">
        <f>(1500*2.6)/220</f>
        <v>17.727272727272727</v>
      </c>
      <c r="E27" s="6">
        <f t="shared" si="3"/>
        <v>0</v>
      </c>
      <c r="F27" s="15">
        <f t="shared" si="4"/>
        <v>0</v>
      </c>
    </row>
    <row r="28" spans="1:7">
      <c r="A28" s="14" t="s">
        <v>26</v>
      </c>
      <c r="B28" s="7">
        <f t="shared" si="2"/>
        <v>0</v>
      </c>
      <c r="C28" s="4">
        <v>0</v>
      </c>
      <c r="D28" s="6">
        <f>(1500*2.6)/220</f>
        <v>17.727272727272727</v>
      </c>
      <c r="E28" s="6">
        <f t="shared" si="3"/>
        <v>0</v>
      </c>
      <c r="F28" s="15">
        <f t="shared" si="4"/>
        <v>0</v>
      </c>
    </row>
    <row r="29" spans="1:7">
      <c r="A29" s="16" t="s">
        <v>16</v>
      </c>
      <c r="B29" s="5">
        <f t="shared" si="2"/>
        <v>0</v>
      </c>
      <c r="C29" s="4">
        <f>C11</f>
        <v>0</v>
      </c>
      <c r="D29" s="6">
        <f>(2000*2.26)/220</f>
        <v>20.545454545454547</v>
      </c>
      <c r="E29" s="6">
        <f t="shared" si="3"/>
        <v>0</v>
      </c>
      <c r="F29" s="15">
        <f t="shared" si="4"/>
        <v>0</v>
      </c>
    </row>
    <row r="30" spans="1:7">
      <c r="A30" s="16" t="s">
        <v>39</v>
      </c>
      <c r="B30" s="5">
        <f t="shared" si="2"/>
        <v>0</v>
      </c>
      <c r="C30" s="4">
        <f>C12</f>
        <v>0</v>
      </c>
      <c r="D30" s="6">
        <f>(1500*2.26)/220</f>
        <v>15.409090909090907</v>
      </c>
      <c r="E30" s="6">
        <f t="shared" si="3"/>
        <v>0</v>
      </c>
      <c r="F30" s="15">
        <f t="shared" si="4"/>
        <v>0</v>
      </c>
    </row>
    <row r="31" spans="1:7">
      <c r="A31" s="16" t="s">
        <v>17</v>
      </c>
      <c r="B31" s="5">
        <f t="shared" si="2"/>
        <v>0</v>
      </c>
      <c r="C31" s="4">
        <f>C13</f>
        <v>0</v>
      </c>
      <c r="D31" s="6">
        <f>(3000*2.26)/220</f>
        <v>30.818181818181813</v>
      </c>
      <c r="E31" s="6">
        <f t="shared" si="3"/>
        <v>0</v>
      </c>
      <c r="F31" s="15">
        <f t="shared" si="4"/>
        <v>0</v>
      </c>
    </row>
    <row r="32" spans="1:7">
      <c r="A32" s="16" t="s">
        <v>45</v>
      </c>
      <c r="B32" s="5">
        <f t="shared" si="2"/>
        <v>0</v>
      </c>
      <c r="C32" s="4">
        <f>C14</f>
        <v>0</v>
      </c>
      <c r="D32" s="6">
        <f>(1500*2.26)/220</f>
        <v>15.409090909090907</v>
      </c>
      <c r="E32" s="6">
        <f>B32*D32*C32</f>
        <v>0</v>
      </c>
      <c r="F32" s="15">
        <f t="shared" si="4"/>
        <v>0</v>
      </c>
    </row>
    <row r="33" spans="1:6">
      <c r="A33" s="16" t="s">
        <v>2</v>
      </c>
      <c r="B33" s="5">
        <f>B17</f>
        <v>0</v>
      </c>
      <c r="C33" s="4">
        <f>C17</f>
        <v>0</v>
      </c>
      <c r="D33" s="6">
        <f>(5000*2.26)/220</f>
        <v>51.363636363636353</v>
      </c>
      <c r="E33" s="6">
        <f t="shared" ref="E33:E48" si="5">B33*D33*C33</f>
        <v>0</v>
      </c>
      <c r="F33" s="15">
        <f t="shared" si="4"/>
        <v>0</v>
      </c>
    </row>
    <row r="34" spans="1:6">
      <c r="A34" s="16" t="s">
        <v>19</v>
      </c>
      <c r="B34" s="5">
        <v>0</v>
      </c>
      <c r="C34" s="4">
        <v>0</v>
      </c>
      <c r="D34" s="6">
        <f>(2500*2.26)/220</f>
        <v>25.681818181818176</v>
      </c>
      <c r="E34" s="6">
        <f t="shared" si="5"/>
        <v>0</v>
      </c>
      <c r="F34" s="15">
        <f t="shared" si="4"/>
        <v>0</v>
      </c>
    </row>
    <row r="35" spans="1:6">
      <c r="A35" s="16" t="s">
        <v>18</v>
      </c>
      <c r="B35" s="5">
        <v>0</v>
      </c>
      <c r="C35" s="4">
        <v>0</v>
      </c>
      <c r="D35" s="6">
        <f>(1800*2.26)/220</f>
        <v>18.490909090909089</v>
      </c>
      <c r="E35" s="6">
        <f t="shared" si="5"/>
        <v>0</v>
      </c>
      <c r="F35" s="15">
        <f t="shared" si="4"/>
        <v>0</v>
      </c>
    </row>
    <row r="36" spans="1:6">
      <c r="A36" s="16" t="s">
        <v>3</v>
      </c>
      <c r="B36" s="5">
        <v>0</v>
      </c>
      <c r="C36" s="4">
        <v>0</v>
      </c>
      <c r="D36" s="6">
        <f>(1200*2.26)/220</f>
        <v>12.327272727272724</v>
      </c>
      <c r="E36" s="6">
        <f t="shared" si="5"/>
        <v>0</v>
      </c>
      <c r="F36" s="15">
        <f t="shared" si="4"/>
        <v>0</v>
      </c>
    </row>
    <row r="37" spans="1:6">
      <c r="A37" s="16" t="s">
        <v>46</v>
      </c>
      <c r="B37" s="5">
        <v>0</v>
      </c>
      <c r="C37" s="4">
        <v>0</v>
      </c>
      <c r="D37" s="6">
        <f>(2000*2.26)/220</f>
        <v>20.545454545454547</v>
      </c>
      <c r="E37" s="6">
        <f t="shared" si="5"/>
        <v>0</v>
      </c>
      <c r="F37" s="15">
        <f t="shared" si="4"/>
        <v>0</v>
      </c>
    </row>
    <row r="38" spans="1:6">
      <c r="A38" s="16" t="s">
        <v>4</v>
      </c>
      <c r="B38" s="5">
        <v>0</v>
      </c>
      <c r="C38" s="4">
        <v>0</v>
      </c>
      <c r="D38" s="6">
        <f>(1500*2.26)/220</f>
        <v>15.409090909090907</v>
      </c>
      <c r="E38" s="6">
        <f t="shared" si="5"/>
        <v>0</v>
      </c>
      <c r="F38" s="15">
        <f t="shared" si="4"/>
        <v>0</v>
      </c>
    </row>
    <row r="39" spans="1:6">
      <c r="A39" s="16" t="s">
        <v>5</v>
      </c>
      <c r="B39" s="5">
        <f>B15</f>
        <v>0</v>
      </c>
      <c r="C39" s="4">
        <f>C15</f>
        <v>0</v>
      </c>
      <c r="D39" s="6">
        <f>(4000*2.26)/220</f>
        <v>41.090909090909093</v>
      </c>
      <c r="E39" s="6">
        <f t="shared" si="5"/>
        <v>0</v>
      </c>
      <c r="F39" s="17">
        <f t="shared" si="4"/>
        <v>0</v>
      </c>
    </row>
    <row r="40" spans="1:6">
      <c r="A40" s="16" t="s">
        <v>6</v>
      </c>
      <c r="B40" s="5">
        <v>0</v>
      </c>
      <c r="C40" s="4">
        <f>C39</f>
        <v>0</v>
      </c>
      <c r="D40" s="6">
        <f>(2400*2.26)/220</f>
        <v>24.654545454545449</v>
      </c>
      <c r="E40" s="6">
        <f>B40*D40*C40</f>
        <v>0</v>
      </c>
      <c r="F40" s="17">
        <f t="shared" si="4"/>
        <v>0</v>
      </c>
    </row>
    <row r="41" spans="1:6">
      <c r="A41" s="16" t="s">
        <v>7</v>
      </c>
      <c r="B41" s="5">
        <f>B16</f>
        <v>0</v>
      </c>
      <c r="C41" s="4">
        <f>C16</f>
        <v>0</v>
      </c>
      <c r="D41" s="6">
        <f>(3500*2.26)/220</f>
        <v>35.954545454545453</v>
      </c>
      <c r="E41" s="6">
        <f t="shared" si="5"/>
        <v>0</v>
      </c>
      <c r="F41" s="17">
        <f>E41*$G$3</f>
        <v>0</v>
      </c>
    </row>
    <row r="42" spans="1:6">
      <c r="A42" s="34" t="s">
        <v>8</v>
      </c>
      <c r="B42" s="35">
        <f>B41</f>
        <v>0</v>
      </c>
      <c r="C42" s="36">
        <f>C41</f>
        <v>0</v>
      </c>
      <c r="D42" s="37">
        <f>(1800*2.26)/220</f>
        <v>18.490909090909089</v>
      </c>
      <c r="E42" s="6">
        <f t="shared" si="5"/>
        <v>0</v>
      </c>
      <c r="F42" s="38">
        <f t="shared" si="4"/>
        <v>0</v>
      </c>
    </row>
    <row r="43" spans="1:6">
      <c r="A43" s="34" t="s">
        <v>61</v>
      </c>
      <c r="B43" s="35">
        <v>0</v>
      </c>
      <c r="C43" s="36">
        <v>0</v>
      </c>
      <c r="D43" s="37">
        <v>18</v>
      </c>
      <c r="E43" s="6">
        <f t="shared" si="5"/>
        <v>0</v>
      </c>
      <c r="F43" s="38">
        <f t="shared" si="4"/>
        <v>0</v>
      </c>
    </row>
    <row r="44" spans="1:6">
      <c r="A44" s="16" t="s">
        <v>62</v>
      </c>
      <c r="B44" s="5">
        <v>0</v>
      </c>
      <c r="C44" s="4">
        <v>0</v>
      </c>
      <c r="D44" s="6">
        <v>20</v>
      </c>
      <c r="E44" s="6">
        <f t="shared" si="5"/>
        <v>0</v>
      </c>
      <c r="F44" s="38">
        <f t="shared" si="4"/>
        <v>0</v>
      </c>
    </row>
    <row r="45" spans="1:6">
      <c r="A45" s="16" t="s">
        <v>69</v>
      </c>
      <c r="B45" s="35">
        <v>0</v>
      </c>
      <c r="C45" s="36">
        <v>0</v>
      </c>
      <c r="D45" s="37">
        <v>9.5</v>
      </c>
      <c r="E45" s="6">
        <f t="shared" si="5"/>
        <v>0</v>
      </c>
      <c r="F45" s="38">
        <f t="shared" si="4"/>
        <v>0</v>
      </c>
    </row>
    <row r="46" spans="1:6">
      <c r="A46" s="34" t="s">
        <v>60</v>
      </c>
      <c r="B46" s="35">
        <v>0</v>
      </c>
      <c r="C46" s="36">
        <v>0</v>
      </c>
      <c r="D46" s="37">
        <f>(2200*2.26)/220</f>
        <v>22.599999999999994</v>
      </c>
      <c r="E46" s="6">
        <f t="shared" si="5"/>
        <v>0</v>
      </c>
      <c r="F46" s="38">
        <f t="shared" si="4"/>
        <v>0</v>
      </c>
    </row>
    <row r="47" spans="1:6">
      <c r="A47" s="34" t="s">
        <v>66</v>
      </c>
      <c r="B47" s="35">
        <v>0</v>
      </c>
      <c r="C47" s="36">
        <v>0</v>
      </c>
      <c r="D47" s="6">
        <f>(1200*2.26)/220</f>
        <v>12.327272727272724</v>
      </c>
      <c r="E47" s="6">
        <f t="shared" si="5"/>
        <v>0</v>
      </c>
      <c r="F47" s="38">
        <f t="shared" si="4"/>
        <v>0</v>
      </c>
    </row>
    <row r="48" spans="1:6" ht="15.75" thickBot="1">
      <c r="A48" s="18" t="s">
        <v>65</v>
      </c>
      <c r="B48" s="19">
        <v>0</v>
      </c>
      <c r="C48" s="20">
        <v>0</v>
      </c>
      <c r="D48" s="21">
        <f>(4000*2.26)/220</f>
        <v>41.090909090909093</v>
      </c>
      <c r="E48" s="6">
        <f t="shared" si="5"/>
        <v>0</v>
      </c>
      <c r="F48" s="27">
        <f t="shared" si="4"/>
        <v>0</v>
      </c>
    </row>
    <row r="49" spans="1:7" ht="15.75" thickBot="1">
      <c r="A49" s="260"/>
      <c r="B49" s="260"/>
      <c r="C49" s="260"/>
      <c r="D49" s="260"/>
      <c r="E49" s="261"/>
      <c r="F49" s="88">
        <f>SUM(F22:F48)</f>
        <v>0</v>
      </c>
    </row>
    <row r="50" spans="1:7" ht="4.5" customHeight="1" thickBot="1">
      <c r="A50" s="266"/>
      <c r="B50" s="260"/>
      <c r="C50" s="260"/>
      <c r="D50" s="260"/>
      <c r="E50" s="260"/>
      <c r="F50" s="261"/>
    </row>
    <row r="51" spans="1:7" ht="15.75" thickBot="1">
      <c r="A51" s="267" t="s">
        <v>32</v>
      </c>
      <c r="B51" s="268"/>
      <c r="C51" s="268"/>
      <c r="D51" s="268"/>
      <c r="E51" s="268"/>
      <c r="F51" s="269"/>
    </row>
    <row r="52" spans="1:7">
      <c r="A52" s="23" t="s">
        <v>57</v>
      </c>
      <c r="B52" s="87">
        <v>0</v>
      </c>
      <c r="C52" s="43" t="s">
        <v>40</v>
      </c>
      <c r="D52" s="26">
        <v>250</v>
      </c>
      <c r="E52" s="46">
        <f t="shared" ref="E52:E65" si="6">D52*B52</f>
        <v>0</v>
      </c>
      <c r="F52" s="28">
        <f t="shared" ref="F52:F65" si="7">E52*$G$3</f>
        <v>0</v>
      </c>
    </row>
    <row r="53" spans="1:7">
      <c r="A53" s="16" t="s">
        <v>67</v>
      </c>
      <c r="B53" s="87">
        <v>0</v>
      </c>
      <c r="C53" s="44" t="s">
        <v>64</v>
      </c>
      <c r="D53" s="6">
        <v>195</v>
      </c>
      <c r="E53" s="47">
        <f t="shared" si="6"/>
        <v>0</v>
      </c>
      <c r="F53" s="17">
        <f t="shared" si="7"/>
        <v>0</v>
      </c>
    </row>
    <row r="54" spans="1:7">
      <c r="A54" s="34" t="s">
        <v>68</v>
      </c>
      <c r="B54" s="87">
        <v>0</v>
      </c>
      <c r="C54" s="45" t="s">
        <v>74</v>
      </c>
      <c r="D54" s="37">
        <v>1.8</v>
      </c>
      <c r="E54" s="47">
        <f t="shared" si="6"/>
        <v>0</v>
      </c>
      <c r="F54" s="17">
        <f t="shared" si="7"/>
        <v>0</v>
      </c>
      <c r="G54" s="3"/>
    </row>
    <row r="55" spans="1:7">
      <c r="A55" s="34" t="s">
        <v>73</v>
      </c>
      <c r="B55" s="87">
        <v>0</v>
      </c>
      <c r="C55" s="45" t="s">
        <v>74</v>
      </c>
      <c r="D55" s="37">
        <v>3.6</v>
      </c>
      <c r="E55" s="47">
        <f t="shared" si="6"/>
        <v>0</v>
      </c>
      <c r="F55" s="17">
        <f t="shared" si="7"/>
        <v>0</v>
      </c>
      <c r="G55" s="3"/>
    </row>
    <row r="56" spans="1:7">
      <c r="A56" s="34" t="s">
        <v>80</v>
      </c>
      <c r="B56" s="87">
        <v>0</v>
      </c>
      <c r="C56" s="45" t="s">
        <v>58</v>
      </c>
      <c r="D56" s="37">
        <v>500</v>
      </c>
      <c r="E56" s="47">
        <f t="shared" si="6"/>
        <v>0</v>
      </c>
      <c r="F56" s="17">
        <f t="shared" si="7"/>
        <v>0</v>
      </c>
      <c r="G56" s="3"/>
    </row>
    <row r="57" spans="1:7">
      <c r="A57" s="16" t="s">
        <v>78</v>
      </c>
      <c r="B57" s="87">
        <v>0</v>
      </c>
      <c r="C57" s="44" t="s">
        <v>77</v>
      </c>
      <c r="D57" s="6">
        <v>54</v>
      </c>
      <c r="E57" s="6">
        <f t="shared" si="6"/>
        <v>0</v>
      </c>
      <c r="F57" s="15">
        <f t="shared" si="7"/>
        <v>0</v>
      </c>
    </row>
    <row r="58" spans="1:7">
      <c r="A58" s="16" t="s">
        <v>81</v>
      </c>
      <c r="B58" s="87">
        <v>0</v>
      </c>
      <c r="C58" s="44" t="s">
        <v>59</v>
      </c>
      <c r="D58" s="6">
        <v>550</v>
      </c>
      <c r="E58" s="6">
        <f t="shared" si="6"/>
        <v>0</v>
      </c>
      <c r="F58" s="15">
        <f t="shared" si="7"/>
        <v>0</v>
      </c>
    </row>
    <row r="59" spans="1:7">
      <c r="A59" s="16" t="s">
        <v>83</v>
      </c>
      <c r="B59" s="87">
        <v>0</v>
      </c>
      <c r="C59" s="44" t="s">
        <v>59</v>
      </c>
      <c r="D59" s="6">
        <v>15</v>
      </c>
      <c r="E59" s="6">
        <f t="shared" si="6"/>
        <v>0</v>
      </c>
      <c r="F59" s="15">
        <f t="shared" si="7"/>
        <v>0</v>
      </c>
    </row>
    <row r="60" spans="1:7">
      <c r="A60" s="16" t="s">
        <v>84</v>
      </c>
      <c r="B60" s="87">
        <v>0</v>
      </c>
      <c r="C60" s="44" t="s">
        <v>59</v>
      </c>
      <c r="D60" s="6">
        <v>31.5</v>
      </c>
      <c r="E60" s="6">
        <f t="shared" si="6"/>
        <v>0</v>
      </c>
      <c r="F60" s="15">
        <f t="shared" si="7"/>
        <v>0</v>
      </c>
    </row>
    <row r="61" spans="1:7">
      <c r="A61" s="16" t="s">
        <v>70</v>
      </c>
      <c r="B61" s="87">
        <v>0</v>
      </c>
      <c r="C61" s="44" t="s">
        <v>63</v>
      </c>
      <c r="D61" s="6">
        <v>350</v>
      </c>
      <c r="E61" s="6">
        <f t="shared" si="6"/>
        <v>0</v>
      </c>
      <c r="F61" s="15">
        <f t="shared" si="7"/>
        <v>0</v>
      </c>
    </row>
    <row r="62" spans="1:7">
      <c r="A62" s="16" t="s">
        <v>71</v>
      </c>
      <c r="B62" s="87">
        <v>0</v>
      </c>
      <c r="C62" s="44" t="s">
        <v>58</v>
      </c>
      <c r="D62" s="6">
        <v>125</v>
      </c>
      <c r="E62" s="6">
        <f t="shared" si="6"/>
        <v>0</v>
      </c>
      <c r="F62" s="15">
        <f t="shared" si="7"/>
        <v>0</v>
      </c>
    </row>
    <row r="63" spans="1:7">
      <c r="A63" s="34" t="s">
        <v>72</v>
      </c>
      <c r="B63" s="87">
        <v>0</v>
      </c>
      <c r="C63" s="45" t="s">
        <v>63</v>
      </c>
      <c r="D63" s="37">
        <v>28</v>
      </c>
      <c r="E63" s="37">
        <f t="shared" si="6"/>
        <v>0</v>
      </c>
      <c r="F63" s="39">
        <f t="shared" si="7"/>
        <v>0</v>
      </c>
    </row>
    <row r="64" spans="1:7">
      <c r="A64" s="34" t="s">
        <v>82</v>
      </c>
      <c r="B64" s="87">
        <v>0</v>
      </c>
      <c r="C64" s="45" t="s">
        <v>58</v>
      </c>
      <c r="D64" s="37">
        <v>65</v>
      </c>
      <c r="E64" s="37">
        <f t="shared" si="6"/>
        <v>0</v>
      </c>
      <c r="F64" s="39">
        <f t="shared" si="7"/>
        <v>0</v>
      </c>
    </row>
    <row r="65" spans="1:9" ht="15.75" thickBot="1">
      <c r="A65" s="18" t="s">
        <v>76</v>
      </c>
      <c r="B65" s="87">
        <v>0</v>
      </c>
      <c r="C65" s="86" t="s">
        <v>63</v>
      </c>
      <c r="D65" s="21">
        <v>106</v>
      </c>
      <c r="E65" s="21">
        <f t="shared" si="6"/>
        <v>0</v>
      </c>
      <c r="F65" s="22">
        <f t="shared" si="7"/>
        <v>0</v>
      </c>
    </row>
    <row r="66" spans="1:9" ht="15.75" thickBot="1">
      <c r="A66" s="266"/>
      <c r="B66" s="260"/>
      <c r="C66" s="260"/>
      <c r="D66" s="260"/>
      <c r="E66" s="261"/>
      <c r="F66" s="48">
        <f>SUM(F52:F65)</f>
        <v>0</v>
      </c>
      <c r="G66" s="3"/>
      <c r="H66" s="3"/>
    </row>
    <row r="67" spans="1:9" ht="4.5" customHeight="1" thickBot="1">
      <c r="A67" s="266"/>
      <c r="B67" s="260"/>
      <c r="C67" s="260"/>
      <c r="D67" s="260"/>
      <c r="E67" s="260"/>
      <c r="F67" s="261"/>
      <c r="G67" s="3"/>
      <c r="H67" s="3"/>
    </row>
    <row r="68" spans="1:9" ht="15.75" thickBot="1">
      <c r="A68" s="278" t="s">
        <v>47</v>
      </c>
      <c r="B68" s="279"/>
      <c r="C68" s="279"/>
      <c r="D68" s="279"/>
      <c r="E68" s="280"/>
      <c r="F68" s="63"/>
    </row>
    <row r="69" spans="1:9">
      <c r="A69" s="64" t="s">
        <v>0</v>
      </c>
      <c r="B69" s="65" t="s">
        <v>1</v>
      </c>
      <c r="C69" s="66" t="s">
        <v>49</v>
      </c>
      <c r="D69" s="67" t="s">
        <v>11</v>
      </c>
      <c r="E69" s="65" t="s">
        <v>12</v>
      </c>
      <c r="F69" s="68" t="s">
        <v>13</v>
      </c>
    </row>
    <row r="70" spans="1:9">
      <c r="A70" s="16" t="s">
        <v>75</v>
      </c>
      <c r="B70" s="5">
        <v>0</v>
      </c>
      <c r="C70" s="4">
        <v>0</v>
      </c>
      <c r="D70" s="6">
        <v>18</v>
      </c>
      <c r="E70" s="6">
        <f>B70*C70*D70</f>
        <v>0</v>
      </c>
      <c r="F70" s="15">
        <f t="shared" ref="F70:F71" si="8">E70*$G$3</f>
        <v>0</v>
      </c>
    </row>
    <row r="71" spans="1:9" ht="15.75" thickBot="1">
      <c r="A71" s="40" t="s">
        <v>48</v>
      </c>
      <c r="B71" s="41">
        <v>0</v>
      </c>
      <c r="C71" s="69">
        <v>0</v>
      </c>
      <c r="D71" s="42">
        <v>15</v>
      </c>
      <c r="E71" s="42">
        <f>D71*C71*B71</f>
        <v>0</v>
      </c>
      <c r="F71" s="15">
        <f t="shared" si="8"/>
        <v>0</v>
      </c>
    </row>
    <row r="72" spans="1:9" ht="15.75" thickBot="1">
      <c r="A72" s="260"/>
      <c r="B72" s="260"/>
      <c r="C72" s="260"/>
      <c r="D72" s="260"/>
      <c r="E72" s="261"/>
      <c r="F72" s="89">
        <f>SUM(F70:F71)</f>
        <v>0</v>
      </c>
    </row>
    <row r="73" spans="1:9" ht="4.5" customHeight="1" thickBot="1">
      <c r="A73" s="266"/>
      <c r="B73" s="260"/>
      <c r="C73" s="260"/>
      <c r="D73" s="260"/>
      <c r="E73" s="260"/>
      <c r="F73" s="261"/>
    </row>
    <row r="74" spans="1:9" ht="15.75" thickBot="1">
      <c r="A74" s="270" t="s">
        <v>50</v>
      </c>
      <c r="B74" s="271"/>
      <c r="C74" s="271"/>
      <c r="D74" s="271"/>
      <c r="E74" s="271"/>
      <c r="F74" s="272"/>
      <c r="I74" t="s">
        <v>51</v>
      </c>
    </row>
    <row r="75" spans="1:9">
      <c r="A75" s="70" t="s">
        <v>52</v>
      </c>
      <c r="B75" s="71">
        <v>1.4999999999999999E-2</v>
      </c>
      <c r="C75" s="72"/>
      <c r="D75" s="73"/>
      <c r="E75" s="72"/>
      <c r="F75" s="74"/>
    </row>
    <row r="76" spans="1:9">
      <c r="A76" s="75" t="s">
        <v>53</v>
      </c>
      <c r="B76" s="76">
        <v>1.4999999999999999E-2</v>
      </c>
      <c r="C76" s="50"/>
      <c r="D76" s="51"/>
      <c r="E76" s="50"/>
      <c r="F76" s="77"/>
      <c r="I76" t="s">
        <v>51</v>
      </c>
    </row>
    <row r="77" spans="1:9">
      <c r="A77" s="75" t="s">
        <v>54</v>
      </c>
      <c r="B77" s="76">
        <v>0.03</v>
      </c>
      <c r="C77" s="50"/>
      <c r="D77" s="51"/>
      <c r="E77" s="50"/>
      <c r="F77" s="77"/>
    </row>
    <row r="78" spans="1:9">
      <c r="A78" s="75" t="s">
        <v>55</v>
      </c>
      <c r="B78" s="76">
        <v>7.0000000000000007E-2</v>
      </c>
      <c r="C78" s="50"/>
      <c r="D78" s="51"/>
      <c r="E78" s="50"/>
      <c r="F78" s="77"/>
    </row>
    <row r="79" spans="1:9" ht="15.75" thickBot="1">
      <c r="A79" s="78" t="s">
        <v>56</v>
      </c>
      <c r="B79" s="79">
        <v>0.18</v>
      </c>
      <c r="C79" s="80"/>
      <c r="D79" s="81"/>
      <c r="E79" s="80"/>
      <c r="F79" s="82"/>
    </row>
    <row r="80" spans="1:9" ht="15.75" thickBot="1">
      <c r="A80" s="83" t="s">
        <v>33</v>
      </c>
      <c r="B80" s="84">
        <f>SUM(B75:B79)</f>
        <v>0.31</v>
      </c>
      <c r="E80"/>
    </row>
    <row r="81" spans="1:8" ht="19.5" thickBot="1">
      <c r="A81" s="273" t="s">
        <v>33</v>
      </c>
      <c r="B81" s="274"/>
      <c r="C81" s="274"/>
      <c r="D81" s="275"/>
      <c r="E81" s="276">
        <f>SUM(F66,F49,F19,F72)</f>
        <v>0</v>
      </c>
      <c r="F81" s="277"/>
      <c r="H81" s="62"/>
    </row>
    <row r="84" spans="1:8">
      <c r="F84" s="3"/>
    </row>
  </sheetData>
  <mergeCells count="16">
    <mergeCell ref="A73:F73"/>
    <mergeCell ref="A74:F74"/>
    <mergeCell ref="A81:D81"/>
    <mergeCell ref="E81:F81"/>
    <mergeCell ref="A50:F50"/>
    <mergeCell ref="A51:F51"/>
    <mergeCell ref="A66:E66"/>
    <mergeCell ref="A67:F67"/>
    <mergeCell ref="A68:E68"/>
    <mergeCell ref="A72:E72"/>
    <mergeCell ref="A49:E49"/>
    <mergeCell ref="A1:G1"/>
    <mergeCell ref="A2:G2"/>
    <mergeCell ref="A19:E19"/>
    <mergeCell ref="A20:F20"/>
    <mergeCell ref="A21:F21"/>
  </mergeCells>
  <pageMargins left="0.511811024" right="0.511811024" top="0.78740157499999996" bottom="0.78740157499999996" header="0.31496062000000002" footer="0.31496062000000002"/>
  <pageSetup paperSize="9" scale="56" orientation="portrait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70C0"/>
  </sheetPr>
  <dimension ref="A1:K74"/>
  <sheetViews>
    <sheetView view="pageBreakPreview" topLeftCell="A46" zoomScaleSheetLayoutView="100" workbookViewId="0">
      <selection sqref="A1:L34"/>
    </sheetView>
  </sheetViews>
  <sheetFormatPr defaultRowHeight="15"/>
  <cols>
    <col min="1" max="1" width="33.140625" customWidth="1"/>
    <col min="2" max="2" width="9.5703125" style="1" bestFit="1" customWidth="1"/>
    <col min="3" max="3" width="11.5703125" bestFit="1" customWidth="1"/>
    <col min="4" max="4" width="15.85546875" style="2" bestFit="1" customWidth="1"/>
    <col min="5" max="5" width="17.28515625" style="2" bestFit="1" customWidth="1"/>
    <col min="6" max="6" width="17.28515625" bestFit="1" customWidth="1"/>
    <col min="7" max="7" width="9" customWidth="1"/>
    <col min="8" max="8" width="14.28515625" bestFit="1" customWidth="1"/>
    <col min="9" max="9" width="9.5703125" bestFit="1" customWidth="1"/>
    <col min="10" max="10" width="12.42578125" bestFit="1" customWidth="1"/>
    <col min="11" max="12" width="14.28515625" bestFit="1" customWidth="1"/>
  </cols>
  <sheetData>
    <row r="1" spans="1:10" ht="56.25" customHeight="1" thickBot="1">
      <c r="A1" s="286" t="s">
        <v>270</v>
      </c>
      <c r="B1" s="287"/>
      <c r="C1" s="287"/>
      <c r="D1" s="287"/>
      <c r="E1" s="287"/>
      <c r="F1" s="287"/>
      <c r="G1" s="288"/>
    </row>
    <row r="2" spans="1:10" ht="15.75" thickBot="1">
      <c r="A2" s="289" t="s">
        <v>30</v>
      </c>
      <c r="B2" s="290"/>
      <c r="C2" s="290"/>
      <c r="D2" s="290"/>
      <c r="E2" s="290"/>
      <c r="F2" s="290"/>
      <c r="G2" s="291"/>
    </row>
    <row r="3" spans="1:10" ht="30.75" thickBot="1">
      <c r="A3" s="29" t="s">
        <v>0</v>
      </c>
      <c r="B3" s="30" t="s">
        <v>1</v>
      </c>
      <c r="C3" s="31" t="s">
        <v>35</v>
      </c>
      <c r="D3" s="32" t="s">
        <v>11</v>
      </c>
      <c r="E3" s="32" t="s">
        <v>12</v>
      </c>
      <c r="F3" s="33" t="s">
        <v>13</v>
      </c>
      <c r="G3" s="85">
        <f>1+B55</f>
        <v>1.2321</v>
      </c>
    </row>
    <row r="4" spans="1:10">
      <c r="A4" s="189" t="s">
        <v>242</v>
      </c>
      <c r="B4" s="190">
        <v>2</v>
      </c>
      <c r="C4" s="191">
        <f>H63</f>
        <v>400</v>
      </c>
      <c r="D4" s="192">
        <f>(7000+2000)/200</f>
        <v>45</v>
      </c>
      <c r="E4" s="192">
        <f>B4*D4*C4</f>
        <v>36000</v>
      </c>
      <c r="F4" s="193">
        <f>E4*$G$3</f>
        <v>44355.6</v>
      </c>
      <c r="G4" s="49"/>
      <c r="J4" s="103"/>
    </row>
    <row r="5" spans="1:10">
      <c r="A5" s="189" t="s">
        <v>14</v>
      </c>
      <c r="B5" s="190">
        <v>1</v>
      </c>
      <c r="C5" s="191">
        <f t="shared" ref="C5:C11" si="0">C4</f>
        <v>400</v>
      </c>
      <c r="D5" s="192">
        <f>(15000+1500)/200</f>
        <v>82.5</v>
      </c>
      <c r="E5" s="192">
        <f t="shared" ref="E5:E7" si="1">B5*D5*C5</f>
        <v>33000</v>
      </c>
      <c r="F5" s="193">
        <f t="shared" ref="F5:F12" si="2">E5*$G$3</f>
        <v>40659.299999999996</v>
      </c>
      <c r="J5" s="103"/>
    </row>
    <row r="6" spans="1:10">
      <c r="A6" s="189" t="s">
        <v>37</v>
      </c>
      <c r="B6" s="190">
        <v>2</v>
      </c>
      <c r="C6" s="191">
        <f t="shared" si="0"/>
        <v>400</v>
      </c>
      <c r="D6" s="192">
        <f>(5500+1500)/200</f>
        <v>35</v>
      </c>
      <c r="E6" s="192">
        <f t="shared" si="1"/>
        <v>28000</v>
      </c>
      <c r="F6" s="193">
        <f t="shared" si="2"/>
        <v>34498.799999999996</v>
      </c>
      <c r="H6" t="s">
        <v>51</v>
      </c>
      <c r="J6" s="103"/>
    </row>
    <row r="7" spans="1:10">
      <c r="A7" s="189" t="s">
        <v>15</v>
      </c>
      <c r="B7" s="190">
        <v>1</v>
      </c>
      <c r="C7" s="191">
        <f t="shared" si="0"/>
        <v>400</v>
      </c>
      <c r="D7" s="192">
        <f>(5000+2000)/200</f>
        <v>35</v>
      </c>
      <c r="E7" s="192">
        <f t="shared" si="1"/>
        <v>14000</v>
      </c>
      <c r="F7" s="193">
        <f t="shared" si="2"/>
        <v>17249.399999999998</v>
      </c>
      <c r="J7" s="103"/>
    </row>
    <row r="8" spans="1:10">
      <c r="A8" s="189" t="s">
        <v>238</v>
      </c>
      <c r="B8" s="190">
        <v>1</v>
      </c>
      <c r="C8" s="191">
        <f t="shared" si="0"/>
        <v>400</v>
      </c>
      <c r="D8" s="192">
        <f>(40000+4000)/200</f>
        <v>220</v>
      </c>
      <c r="E8" s="192">
        <f t="shared" ref="E8" si="3">B8*D8*C8</f>
        <v>88000</v>
      </c>
      <c r="F8" s="193">
        <f t="shared" ref="F8" si="4">E8*$G$3</f>
        <v>108424.8</v>
      </c>
      <c r="J8" s="103"/>
    </row>
    <row r="9" spans="1:10">
      <c r="A9" s="189" t="s">
        <v>239</v>
      </c>
      <c r="B9" s="190">
        <v>1</v>
      </c>
      <c r="C9" s="191">
        <f t="shared" si="0"/>
        <v>400</v>
      </c>
      <c r="D9" s="192">
        <f>(6500+800)/200</f>
        <v>36.5</v>
      </c>
      <c r="E9" s="192">
        <f t="shared" ref="E9" si="5">B9*D9*C9</f>
        <v>14600</v>
      </c>
      <c r="F9" s="193">
        <f t="shared" ref="F9" si="6">E9*$G$3</f>
        <v>17988.66</v>
      </c>
      <c r="J9" s="103"/>
    </row>
    <row r="10" spans="1:10">
      <c r="A10" s="189" t="s">
        <v>240</v>
      </c>
      <c r="B10" s="190">
        <v>1</v>
      </c>
      <c r="C10" s="191">
        <f t="shared" si="0"/>
        <v>400</v>
      </c>
      <c r="D10" s="192">
        <f>(2500+500)/200</f>
        <v>15</v>
      </c>
      <c r="E10" s="192">
        <f t="shared" ref="E10:E11" si="7">B10*D10*C10</f>
        <v>6000</v>
      </c>
      <c r="F10" s="193">
        <f t="shared" ref="F10:F11" si="8">E10*$G$3</f>
        <v>7392.5999999999995</v>
      </c>
      <c r="J10" s="103"/>
    </row>
    <row r="11" spans="1:10" ht="15.75" thickBot="1">
      <c r="A11" s="189" t="s">
        <v>243</v>
      </c>
      <c r="B11" s="190">
        <v>1</v>
      </c>
      <c r="C11" s="191">
        <f t="shared" si="0"/>
        <v>400</v>
      </c>
      <c r="D11" s="192">
        <f>(2000+700)/20</f>
        <v>135</v>
      </c>
      <c r="E11" s="192">
        <f t="shared" si="7"/>
        <v>54000</v>
      </c>
      <c r="F11" s="193">
        <f t="shared" si="8"/>
        <v>66533.399999999994</v>
      </c>
      <c r="J11" s="103"/>
    </row>
    <row r="12" spans="1:10" ht="15.75" thickBot="1">
      <c r="A12" s="194" t="s">
        <v>241</v>
      </c>
      <c r="B12" s="195">
        <v>0</v>
      </c>
      <c r="C12" s="196">
        <v>0</v>
      </c>
      <c r="D12" s="197">
        <f>14*0.55*B32</f>
        <v>84700.000000000015</v>
      </c>
      <c r="E12" s="197">
        <f>D12</f>
        <v>84700.000000000015</v>
      </c>
      <c r="F12" s="198">
        <f t="shared" si="2"/>
        <v>104358.87000000001</v>
      </c>
      <c r="G12" s="61" t="s">
        <v>42</v>
      </c>
    </row>
    <row r="13" spans="1:10" ht="15.75" thickBot="1">
      <c r="A13" s="260"/>
      <c r="B13" s="260"/>
      <c r="C13" s="260"/>
      <c r="D13" s="260"/>
      <c r="E13" s="261"/>
      <c r="F13" s="88">
        <f>SUM(F4:F12)</f>
        <v>441461.42999999993</v>
      </c>
    </row>
    <row r="14" spans="1:10" ht="5.25" customHeight="1" thickBot="1">
      <c r="A14" s="266"/>
      <c r="B14" s="260"/>
      <c r="C14" s="260"/>
      <c r="D14" s="260"/>
      <c r="E14" s="260"/>
      <c r="F14" s="261"/>
    </row>
    <row r="15" spans="1:10" ht="15.75" thickBot="1">
      <c r="A15" s="267" t="s">
        <v>31</v>
      </c>
      <c r="B15" s="268"/>
      <c r="C15" s="268"/>
      <c r="D15" s="268"/>
      <c r="E15" s="268"/>
      <c r="F15" s="269"/>
    </row>
    <row r="16" spans="1:10">
      <c r="A16" s="189" t="s">
        <v>45</v>
      </c>
      <c r="B16" s="190">
        <f t="shared" ref="B16:C19" si="9">B4</f>
        <v>2</v>
      </c>
      <c r="C16" s="191">
        <f t="shared" si="9"/>
        <v>400</v>
      </c>
      <c r="D16" s="192">
        <f>((4500/200))</f>
        <v>22.5</v>
      </c>
      <c r="E16" s="192">
        <f>B16*D16*C16</f>
        <v>18000</v>
      </c>
      <c r="F16" s="193">
        <f t="shared" ref="F16" si="10">E16*$G$3</f>
        <v>22177.8</v>
      </c>
    </row>
    <row r="17" spans="1:6">
      <c r="A17" s="189" t="s">
        <v>16</v>
      </c>
      <c r="B17" s="190">
        <f t="shared" si="9"/>
        <v>1</v>
      </c>
      <c r="C17" s="191">
        <f t="shared" si="9"/>
        <v>400</v>
      </c>
      <c r="D17" s="192">
        <f>((5000/200))</f>
        <v>25</v>
      </c>
      <c r="E17" s="192">
        <f t="shared" ref="E17:E19" si="11">B17*D17*C17</f>
        <v>10000</v>
      </c>
      <c r="F17" s="193">
        <f t="shared" ref="F17:F28" si="12">E17*$G$3</f>
        <v>12321</v>
      </c>
    </row>
    <row r="18" spans="1:6">
      <c r="A18" s="189" t="s">
        <v>39</v>
      </c>
      <c r="B18" s="190">
        <f t="shared" si="9"/>
        <v>2</v>
      </c>
      <c r="C18" s="191">
        <f t="shared" si="9"/>
        <v>400</v>
      </c>
      <c r="D18" s="192">
        <f>((4500/200))</f>
        <v>22.5</v>
      </c>
      <c r="E18" s="192">
        <f t="shared" si="11"/>
        <v>18000</v>
      </c>
      <c r="F18" s="193">
        <f t="shared" si="12"/>
        <v>22177.8</v>
      </c>
    </row>
    <row r="19" spans="1:6">
      <c r="A19" s="189" t="s">
        <v>17</v>
      </c>
      <c r="B19" s="190">
        <f t="shared" si="9"/>
        <v>1</v>
      </c>
      <c r="C19" s="191">
        <f t="shared" si="9"/>
        <v>400</v>
      </c>
      <c r="D19" s="192">
        <f>((4500/200))</f>
        <v>22.5</v>
      </c>
      <c r="E19" s="192">
        <f t="shared" si="11"/>
        <v>9000</v>
      </c>
      <c r="F19" s="193">
        <f t="shared" si="12"/>
        <v>11088.9</v>
      </c>
    </row>
    <row r="20" spans="1:6">
      <c r="A20" s="189" t="s">
        <v>244</v>
      </c>
      <c r="B20" s="190">
        <f>B8</f>
        <v>1</v>
      </c>
      <c r="C20" s="191">
        <f t="shared" ref="C20:C23" si="13">C8</f>
        <v>400</v>
      </c>
      <c r="D20" s="192">
        <f>((8000/200))</f>
        <v>40</v>
      </c>
      <c r="E20" s="192">
        <f t="shared" ref="E20" si="14">B20*D20*C20</f>
        <v>16000</v>
      </c>
      <c r="F20" s="193">
        <f t="shared" ref="F20" si="15">E20*$G$3</f>
        <v>19713.599999999999</v>
      </c>
    </row>
    <row r="21" spans="1:6">
      <c r="A21" s="189" t="s">
        <v>247</v>
      </c>
      <c r="B21" s="190">
        <v>1</v>
      </c>
      <c r="C21" s="191">
        <f t="shared" si="13"/>
        <v>400</v>
      </c>
      <c r="D21" s="192">
        <f>((4500/200))</f>
        <v>22.5</v>
      </c>
      <c r="E21" s="192">
        <f t="shared" ref="E21" si="16">B21*D21*C21</f>
        <v>9000</v>
      </c>
      <c r="F21" s="193">
        <f t="shared" ref="F21" si="17">E21*$G$3</f>
        <v>11088.9</v>
      </c>
    </row>
    <row r="22" spans="1:6">
      <c r="A22" s="189" t="s">
        <v>245</v>
      </c>
      <c r="B22" s="190">
        <v>1</v>
      </c>
      <c r="C22" s="191">
        <f t="shared" si="13"/>
        <v>400</v>
      </c>
      <c r="D22" s="192">
        <f t="shared" ref="D22:D23" si="18">((4500/200))</f>
        <v>22.5</v>
      </c>
      <c r="E22" s="192">
        <f t="shared" ref="E22" si="19">B22*D22*C22</f>
        <v>9000</v>
      </c>
      <c r="F22" s="193">
        <f t="shared" ref="F22" si="20">E22*$G$3</f>
        <v>11088.9</v>
      </c>
    </row>
    <row r="23" spans="1:6">
      <c r="A23" s="189" t="s">
        <v>246</v>
      </c>
      <c r="B23" s="190">
        <v>1</v>
      </c>
      <c r="C23" s="191">
        <f t="shared" si="13"/>
        <v>400</v>
      </c>
      <c r="D23" s="192">
        <f t="shared" si="18"/>
        <v>22.5</v>
      </c>
      <c r="E23" s="192">
        <f t="shared" ref="E23" si="21">B23*D23*C23</f>
        <v>9000</v>
      </c>
      <c r="F23" s="193">
        <f t="shared" ref="F23" si="22">E23*$G$3</f>
        <v>11088.9</v>
      </c>
    </row>
    <row r="24" spans="1:6">
      <c r="A24" s="189" t="s">
        <v>19</v>
      </c>
      <c r="B24" s="190">
        <v>1</v>
      </c>
      <c r="C24" s="191">
        <f>C5</f>
        <v>400</v>
      </c>
      <c r="D24" s="192">
        <f>((10000/200))</f>
        <v>50</v>
      </c>
      <c r="E24" s="192">
        <f>B24*D24*C24</f>
        <v>20000</v>
      </c>
      <c r="F24" s="193">
        <f>E24*$G$3</f>
        <v>24642</v>
      </c>
    </row>
    <row r="25" spans="1:6">
      <c r="A25" s="189" t="s">
        <v>256</v>
      </c>
      <c r="B25" s="190">
        <v>1</v>
      </c>
      <c r="C25" s="191">
        <f>C24</f>
        <v>400</v>
      </c>
      <c r="D25" s="192">
        <f>((5000/200))</f>
        <v>25</v>
      </c>
      <c r="E25" s="192">
        <f t="shared" ref="E25" si="23">B25*D25*C25</f>
        <v>10000</v>
      </c>
      <c r="F25" s="193">
        <f t="shared" ref="F25" si="24">E25*$G$3</f>
        <v>12321</v>
      </c>
    </row>
    <row r="26" spans="1:6">
      <c r="A26" s="189" t="s">
        <v>18</v>
      </c>
      <c r="B26" s="190">
        <v>3</v>
      </c>
      <c r="C26" s="191">
        <f>C25</f>
        <v>400</v>
      </c>
      <c r="D26" s="192">
        <f>((5000/200))</f>
        <v>25</v>
      </c>
      <c r="E26" s="192">
        <f t="shared" ref="E26:E28" si="25">B26*D26*C26</f>
        <v>30000</v>
      </c>
      <c r="F26" s="193">
        <f t="shared" si="12"/>
        <v>36963</v>
      </c>
    </row>
    <row r="27" spans="1:6">
      <c r="A27" s="189" t="s">
        <v>3</v>
      </c>
      <c r="B27" s="190">
        <v>4</v>
      </c>
      <c r="C27" s="191">
        <f>C26</f>
        <v>400</v>
      </c>
      <c r="D27" s="192">
        <f>((3700/200))</f>
        <v>18.5</v>
      </c>
      <c r="E27" s="192">
        <f t="shared" si="25"/>
        <v>29600</v>
      </c>
      <c r="F27" s="193">
        <f t="shared" si="12"/>
        <v>36470.159999999996</v>
      </c>
    </row>
    <row r="28" spans="1:6" ht="15.75" thickBot="1">
      <c r="A28" s="189" t="s">
        <v>4</v>
      </c>
      <c r="B28" s="190">
        <v>1</v>
      </c>
      <c r="C28" s="191">
        <f>C27</f>
        <v>400</v>
      </c>
      <c r="D28" s="192">
        <f>((5700/200))</f>
        <v>28.5</v>
      </c>
      <c r="E28" s="192">
        <f t="shared" si="25"/>
        <v>11400</v>
      </c>
      <c r="F28" s="193">
        <f t="shared" si="12"/>
        <v>14045.94</v>
      </c>
    </row>
    <row r="29" spans="1:6" ht="15.75" thickBot="1">
      <c r="A29" s="260"/>
      <c r="B29" s="260"/>
      <c r="C29" s="260"/>
      <c r="D29" s="260"/>
      <c r="E29" s="261"/>
      <c r="F29" s="88">
        <f>SUM(F16:F28)</f>
        <v>245187.9</v>
      </c>
    </row>
    <row r="30" spans="1:6" ht="4.5" customHeight="1" thickBot="1">
      <c r="A30" s="266"/>
      <c r="B30" s="260"/>
      <c r="C30" s="260"/>
      <c r="D30" s="260"/>
      <c r="E30" s="260"/>
      <c r="F30" s="261"/>
    </row>
    <row r="31" spans="1:6" ht="15.75" thickBot="1">
      <c r="A31" s="267" t="s">
        <v>32</v>
      </c>
      <c r="B31" s="268"/>
      <c r="C31" s="268"/>
      <c r="D31" s="268"/>
      <c r="E31" s="268"/>
      <c r="F31" s="269"/>
    </row>
    <row r="32" spans="1:6">
      <c r="A32" s="189" t="s">
        <v>67</v>
      </c>
      <c r="B32" s="201">
        <v>11000</v>
      </c>
      <c r="C32" s="202" t="s">
        <v>64</v>
      </c>
      <c r="D32" s="192">
        <v>225</v>
      </c>
      <c r="E32" s="192">
        <f t="shared" ref="E32:E39" si="26">D32*B32</f>
        <v>2475000</v>
      </c>
      <c r="F32" s="193">
        <f>E32*$G$3</f>
        <v>3049447.5</v>
      </c>
    </row>
    <row r="33" spans="1:9">
      <c r="A33" s="203" t="s">
        <v>263</v>
      </c>
      <c r="B33" s="201">
        <f>C60*0.6</f>
        <v>44962.5</v>
      </c>
      <c r="C33" s="204" t="s">
        <v>74</v>
      </c>
      <c r="D33" s="205">
        <v>2</v>
      </c>
      <c r="E33" s="192">
        <f t="shared" si="26"/>
        <v>89925</v>
      </c>
      <c r="F33" s="193">
        <f t="shared" ref="F33:F39" si="27">E33*$G$3</f>
        <v>110796.5925</v>
      </c>
      <c r="G33" s="3"/>
    </row>
    <row r="34" spans="1:9">
      <c r="A34" s="203" t="s">
        <v>264</v>
      </c>
      <c r="B34" s="201">
        <f>((B32/2.5)/0.07)*0</f>
        <v>0</v>
      </c>
      <c r="C34" s="204" t="s">
        <v>74</v>
      </c>
      <c r="D34" s="205">
        <v>4.0999999999999996</v>
      </c>
      <c r="E34" s="192">
        <f t="shared" si="26"/>
        <v>0</v>
      </c>
      <c r="F34" s="193">
        <f t="shared" si="27"/>
        <v>0</v>
      </c>
      <c r="G34" s="3"/>
    </row>
    <row r="35" spans="1:9">
      <c r="A35" s="203" t="s">
        <v>251</v>
      </c>
      <c r="B35" s="201">
        <v>5</v>
      </c>
      <c r="C35" s="204" t="s">
        <v>58</v>
      </c>
      <c r="D35" s="205">
        <v>1920</v>
      </c>
      <c r="E35" s="192">
        <f t="shared" si="26"/>
        <v>9600</v>
      </c>
      <c r="F35" s="193">
        <f t="shared" si="27"/>
        <v>11828.16</v>
      </c>
      <c r="G35" s="3"/>
    </row>
    <row r="36" spans="1:9">
      <c r="A36" s="203" t="s">
        <v>252</v>
      </c>
      <c r="B36" s="201">
        <v>12</v>
      </c>
      <c r="C36" s="204" t="s">
        <v>64</v>
      </c>
      <c r="D36" s="205">
        <v>1550</v>
      </c>
      <c r="E36" s="192">
        <f t="shared" si="26"/>
        <v>18600</v>
      </c>
      <c r="F36" s="193">
        <f t="shared" si="27"/>
        <v>22917.06</v>
      </c>
      <c r="G36" s="3"/>
    </row>
    <row r="37" spans="1:9">
      <c r="A37" s="189" t="s">
        <v>253</v>
      </c>
      <c r="B37" s="201">
        <v>2</v>
      </c>
      <c r="C37" s="202" t="s">
        <v>40</v>
      </c>
      <c r="D37" s="192">
        <v>1200</v>
      </c>
      <c r="E37" s="192">
        <f t="shared" si="26"/>
        <v>2400</v>
      </c>
      <c r="F37" s="193">
        <f t="shared" si="27"/>
        <v>2957.04</v>
      </c>
    </row>
    <row r="38" spans="1:9">
      <c r="A38" s="189" t="s">
        <v>254</v>
      </c>
      <c r="B38" s="201">
        <f>SUM(B16:B28)</f>
        <v>20</v>
      </c>
      <c r="C38" s="202" t="s">
        <v>59</v>
      </c>
      <c r="D38" s="192">
        <v>150</v>
      </c>
      <c r="E38" s="192">
        <f t="shared" si="26"/>
        <v>3000</v>
      </c>
      <c r="F38" s="193">
        <f t="shared" si="27"/>
        <v>3696.2999999999997</v>
      </c>
    </row>
    <row r="39" spans="1:9" ht="15.75" thickBot="1">
      <c r="A39" s="189" t="s">
        <v>70</v>
      </c>
      <c r="B39" s="201">
        <v>3.5</v>
      </c>
      <c r="C39" s="202" t="s">
        <v>63</v>
      </c>
      <c r="D39" s="192">
        <v>350</v>
      </c>
      <c r="E39" s="192">
        <f t="shared" si="26"/>
        <v>1225</v>
      </c>
      <c r="F39" s="193">
        <f t="shared" si="27"/>
        <v>1509.3225</v>
      </c>
    </row>
    <row r="40" spans="1:9" ht="15.75" thickBot="1">
      <c r="A40" s="266"/>
      <c r="B40" s="260"/>
      <c r="C40" s="260"/>
      <c r="D40" s="260"/>
      <c r="E40" s="261"/>
      <c r="F40" s="48">
        <f>SUM(F32:F39)</f>
        <v>3203151.9749999996</v>
      </c>
      <c r="G40" s="3"/>
      <c r="H40" s="3"/>
    </row>
    <row r="41" spans="1:9" ht="4.5" customHeight="1" thickBot="1">
      <c r="A41" s="266"/>
      <c r="B41" s="260"/>
      <c r="C41" s="260"/>
      <c r="D41" s="260"/>
      <c r="E41" s="260"/>
      <c r="F41" s="261"/>
      <c r="G41" s="3"/>
      <c r="H41" s="3"/>
    </row>
    <row r="42" spans="1:9" ht="15.75" thickBot="1">
      <c r="A42" s="278" t="s">
        <v>47</v>
      </c>
      <c r="B42" s="279"/>
      <c r="C42" s="279"/>
      <c r="D42" s="279"/>
      <c r="E42" s="280"/>
      <c r="F42" s="63"/>
    </row>
    <row r="43" spans="1:9">
      <c r="A43" s="64" t="s">
        <v>0</v>
      </c>
      <c r="B43" s="65" t="s">
        <v>1</v>
      </c>
      <c r="C43" s="66" t="s">
        <v>49</v>
      </c>
      <c r="D43" s="67" t="s">
        <v>11</v>
      </c>
      <c r="E43" s="65" t="s">
        <v>12</v>
      </c>
      <c r="F43" s="68" t="s">
        <v>13</v>
      </c>
    </row>
    <row r="44" spans="1:9">
      <c r="A44" s="16" t="s">
        <v>75</v>
      </c>
      <c r="B44" s="5">
        <v>1</v>
      </c>
      <c r="C44" s="4">
        <f>G63</f>
        <v>2</v>
      </c>
      <c r="D44" s="6">
        <v>12000</v>
      </c>
      <c r="E44" s="6">
        <f>B44*C44*D44</f>
        <v>24000</v>
      </c>
      <c r="F44" s="15">
        <f t="shared" ref="F44:F45" si="28">E44*$G$3</f>
        <v>29570.399999999998</v>
      </c>
    </row>
    <row r="45" spans="1:9" ht="15.75" thickBot="1">
      <c r="A45" s="40" t="s">
        <v>48</v>
      </c>
      <c r="B45" s="41">
        <v>1</v>
      </c>
      <c r="C45" s="69">
        <f>ROUNDUP(SUMPRODUCT(B16:B28,C16:C28)/8,0)</f>
        <v>1000</v>
      </c>
      <c r="D45" s="42">
        <v>15</v>
      </c>
      <c r="E45" s="42">
        <f>D45*C45*B45</f>
        <v>15000</v>
      </c>
      <c r="F45" s="15">
        <f t="shared" si="28"/>
        <v>18481.5</v>
      </c>
    </row>
    <row r="46" spans="1:9" ht="15.75" thickBot="1">
      <c r="A46" s="260"/>
      <c r="B46" s="260"/>
      <c r="C46" s="260"/>
      <c r="D46" s="260"/>
      <c r="E46" s="261"/>
      <c r="F46" s="89">
        <f>SUM(F44:F45)</f>
        <v>48051.899999999994</v>
      </c>
    </row>
    <row r="47" spans="1:9" ht="4.5" customHeight="1" thickBot="1">
      <c r="A47" s="266"/>
      <c r="B47" s="260"/>
      <c r="C47" s="260"/>
      <c r="D47" s="260"/>
      <c r="E47" s="260"/>
      <c r="F47" s="261"/>
    </row>
    <row r="48" spans="1:9" ht="15.75" thickBot="1">
      <c r="A48" s="270" t="s">
        <v>50</v>
      </c>
      <c r="B48" s="271"/>
      <c r="C48" s="292"/>
      <c r="D48" s="271"/>
      <c r="E48" s="271"/>
      <c r="F48" s="272"/>
      <c r="I48" t="s">
        <v>51</v>
      </c>
    </row>
    <row r="49" spans="1:11">
      <c r="A49" s="70" t="s">
        <v>52</v>
      </c>
      <c r="B49" s="71">
        <v>0.01</v>
      </c>
      <c r="C49" s="105">
        <f t="shared" ref="C49:C54" si="29">($F$46+$F$40+$F$29+$F$13)*B49</f>
        <v>39378.532049999994</v>
      </c>
      <c r="D49" s="73"/>
      <c r="E49" s="72"/>
      <c r="F49" s="74"/>
    </row>
    <row r="50" spans="1:11">
      <c r="A50" s="75" t="s">
        <v>53</v>
      </c>
      <c r="B50" s="76">
        <v>5.0000000000000001E-3</v>
      </c>
      <c r="C50" s="106">
        <f t="shared" si="29"/>
        <v>19689.266024999997</v>
      </c>
      <c r="D50" s="51"/>
      <c r="E50" s="50"/>
      <c r="F50" s="77"/>
      <c r="I50" t="s">
        <v>51</v>
      </c>
    </row>
    <row r="51" spans="1:11">
      <c r="A51" s="75" t="s">
        <v>54</v>
      </c>
      <c r="B51" s="76">
        <v>0.05</v>
      </c>
      <c r="C51" s="106">
        <f t="shared" si="29"/>
        <v>196892.66024999996</v>
      </c>
      <c r="D51" s="51"/>
      <c r="E51" s="50"/>
      <c r="F51" s="77"/>
    </row>
    <row r="52" spans="1:11">
      <c r="A52" s="75" t="s">
        <v>269</v>
      </c>
      <c r="B52" s="210">
        <v>1.21E-2</v>
      </c>
      <c r="C52" s="106">
        <f t="shared" si="29"/>
        <v>47648.023780499985</v>
      </c>
      <c r="D52" s="51"/>
      <c r="E52" s="50"/>
      <c r="F52" s="77"/>
    </row>
    <row r="53" spans="1:11">
      <c r="A53" s="75" t="s">
        <v>55</v>
      </c>
      <c r="B53" s="76">
        <v>0.1</v>
      </c>
      <c r="C53" s="106">
        <f t="shared" si="29"/>
        <v>393785.32049999991</v>
      </c>
      <c r="D53" s="51"/>
      <c r="E53" s="50"/>
      <c r="F53" s="77"/>
    </row>
    <row r="54" spans="1:11" ht="15.75" thickBot="1">
      <c r="A54" s="78" t="s">
        <v>56</v>
      </c>
      <c r="B54" s="79">
        <v>5.5E-2</v>
      </c>
      <c r="C54" s="107">
        <f t="shared" si="29"/>
        <v>216581.92627499995</v>
      </c>
      <c r="D54" s="81"/>
      <c r="E54" s="80"/>
      <c r="F54" s="82"/>
    </row>
    <row r="55" spans="1:11" ht="15.75" thickBot="1">
      <c r="A55" s="83" t="s">
        <v>33</v>
      </c>
      <c r="B55" s="84">
        <f>SUM(B49:B54)</f>
        <v>0.2321</v>
      </c>
      <c r="E55"/>
    </row>
    <row r="56" spans="1:11" ht="19.5" thickBot="1">
      <c r="A56" s="273" t="s">
        <v>33</v>
      </c>
      <c r="B56" s="274"/>
      <c r="C56" s="274"/>
      <c r="D56" s="275"/>
      <c r="E56" s="276">
        <f>SUM(F40,F29,F13,F46)</f>
        <v>3937853.2049999996</v>
      </c>
      <c r="F56" s="277"/>
      <c r="H56" s="62"/>
    </row>
    <row r="57" spans="1:11" ht="18.75">
      <c r="A57" s="211"/>
      <c r="B57" s="211"/>
      <c r="C57" s="211"/>
      <c r="D57" s="211"/>
      <c r="E57" s="212"/>
      <c r="F57" s="212"/>
      <c r="G57" s="213"/>
      <c r="H57" s="62"/>
    </row>
    <row r="58" spans="1:11">
      <c r="A58" s="293" t="s">
        <v>255</v>
      </c>
      <c r="B58" s="293"/>
      <c r="C58" s="293"/>
      <c r="D58" s="293"/>
      <c r="E58" s="293"/>
      <c r="F58" s="293"/>
      <c r="G58" s="293"/>
    </row>
    <row r="59" spans="1:11">
      <c r="A59" s="140" t="s">
        <v>147</v>
      </c>
      <c r="B59" s="111" t="s">
        <v>157</v>
      </c>
      <c r="C59" s="112" t="s">
        <v>156</v>
      </c>
      <c r="D59" s="113"/>
      <c r="E59" s="109"/>
      <c r="F59" s="108"/>
      <c r="G59" s="110"/>
    </row>
    <row r="60" spans="1:11">
      <c r="A60" s="144" t="s">
        <v>158</v>
      </c>
      <c r="B60" s="214">
        <f>((B32/2.5)/C60)</f>
        <v>5.8715596330275233E-2</v>
      </c>
      <c r="C60" s="146">
        <f>'Planilha Final'!D17+'Planilha Final'!D18</f>
        <v>74937.5</v>
      </c>
      <c r="D60" s="147">
        <f>B60*C60*2.5</f>
        <v>11000</v>
      </c>
      <c r="E60" s="148" t="s">
        <v>159</v>
      </c>
      <c r="F60" s="294" t="s">
        <v>160</v>
      </c>
      <c r="G60" s="295"/>
      <c r="K60" s="104"/>
    </row>
    <row r="61" spans="1:11">
      <c r="A61" s="149" t="s">
        <v>161</v>
      </c>
      <c r="B61" s="150"/>
      <c r="C61" s="50"/>
      <c r="D61" s="151">
        <v>230</v>
      </c>
      <c r="E61" s="51" t="s">
        <v>162</v>
      </c>
      <c r="F61" s="284">
        <f>E56</f>
        <v>3937853.2049999996</v>
      </c>
      <c r="G61" s="285"/>
    </row>
    <row r="62" spans="1:11">
      <c r="A62" s="152" t="s">
        <v>163</v>
      </c>
      <c r="B62" s="206" t="s">
        <v>267</v>
      </c>
      <c r="C62" s="209">
        <f>H62</f>
        <v>4048</v>
      </c>
      <c r="D62" s="153">
        <f>D61*0.8</f>
        <v>184</v>
      </c>
      <c r="E62" s="154" t="s">
        <v>162</v>
      </c>
      <c r="F62" s="114">
        <f>F61/D60</f>
        <v>357.98665499999998</v>
      </c>
      <c r="G62" s="115" t="s">
        <v>159</v>
      </c>
      <c r="H62" s="104">
        <f>D62*22</f>
        <v>4048</v>
      </c>
    </row>
    <row r="63" spans="1:11">
      <c r="A63" s="141" t="s">
        <v>164</v>
      </c>
      <c r="B63" s="209" t="s">
        <v>266</v>
      </c>
      <c r="C63" s="209">
        <f>H63</f>
        <v>400</v>
      </c>
      <c r="D63" s="199" t="s">
        <v>248</v>
      </c>
      <c r="E63" s="155">
        <f>ROUNDUP((D60/D62),0)</f>
        <v>60</v>
      </c>
      <c r="F63" s="142" t="s">
        <v>249</v>
      </c>
      <c r="G63" s="143">
        <f>E63/30</f>
        <v>2</v>
      </c>
      <c r="H63">
        <f>G63*200</f>
        <v>400</v>
      </c>
    </row>
    <row r="64" spans="1:11">
      <c r="A64" s="281" t="s">
        <v>265</v>
      </c>
      <c r="B64" s="282"/>
      <c r="C64" s="282"/>
      <c r="D64" s="283"/>
      <c r="E64" s="116"/>
      <c r="F64" s="284">
        <f>F32+F33+F34</f>
        <v>3160244.0924999998</v>
      </c>
      <c r="G64" s="285"/>
    </row>
    <row r="65" spans="1:7">
      <c r="E65" s="116" t="s">
        <v>159</v>
      </c>
      <c r="F65" s="117">
        <f>(F32+F33+F34)/B32</f>
        <v>287.2949175</v>
      </c>
      <c r="G65" s="115" t="s">
        <v>159</v>
      </c>
    </row>
    <row r="67" spans="1:7">
      <c r="A67" s="281" t="s">
        <v>268</v>
      </c>
      <c r="B67" s="282"/>
      <c r="C67" s="282"/>
      <c r="D67" s="283"/>
      <c r="E67" s="116"/>
      <c r="F67" s="284">
        <f>F61-F64</f>
        <v>777609.11249999981</v>
      </c>
      <c r="G67" s="285"/>
    </row>
    <row r="68" spans="1:7">
      <c r="E68" s="116" t="s">
        <v>159</v>
      </c>
      <c r="F68" s="117">
        <f>F67/B32</f>
        <v>70.691737499999988</v>
      </c>
      <c r="G68" s="115" t="s">
        <v>159</v>
      </c>
    </row>
    <row r="70" spans="1:7">
      <c r="A70" s="281" t="s">
        <v>165</v>
      </c>
      <c r="B70" s="282"/>
      <c r="C70" s="282"/>
      <c r="D70" s="283"/>
      <c r="E70" s="116"/>
      <c r="F70" s="284">
        <f>F12</f>
        <v>104358.87000000001</v>
      </c>
      <c r="G70" s="285"/>
    </row>
    <row r="71" spans="1:7">
      <c r="E71" s="116" t="s">
        <v>159</v>
      </c>
      <c r="F71" s="117">
        <f>F70/D60</f>
        <v>9.4871700000000008</v>
      </c>
      <c r="G71" s="115" t="s">
        <v>159</v>
      </c>
    </row>
    <row r="73" spans="1:7">
      <c r="A73" s="281" t="s">
        <v>250</v>
      </c>
      <c r="B73" s="282"/>
      <c r="C73" s="282"/>
      <c r="D73" s="283"/>
      <c r="E73" s="200">
        <f>'Planilha Final'!D17+'Planilha Final'!D18</f>
        <v>74937.5</v>
      </c>
      <c r="F73" s="284">
        <f>F4+F8+F9+F21+F20+F35+F36</f>
        <v>236316.78</v>
      </c>
      <c r="G73" s="285"/>
    </row>
    <row r="74" spans="1:7">
      <c r="E74" s="116" t="s">
        <v>159</v>
      </c>
      <c r="F74" s="117">
        <f>('Planilha Final'!D17+'Planilha Final'!D18)/F73</f>
        <v>0.31710613186249409</v>
      </c>
      <c r="G74" s="115" t="s">
        <v>168</v>
      </c>
    </row>
  </sheetData>
  <mergeCells count="27">
    <mergeCell ref="A70:D70"/>
    <mergeCell ref="F70:G70"/>
    <mergeCell ref="A73:D73"/>
    <mergeCell ref="F73:G73"/>
    <mergeCell ref="F60:G60"/>
    <mergeCell ref="A42:E42"/>
    <mergeCell ref="A46:E46"/>
    <mergeCell ref="A58:G58"/>
    <mergeCell ref="F61:G61"/>
    <mergeCell ref="A64:D64"/>
    <mergeCell ref="F64:G64"/>
    <mergeCell ref="A29:E29"/>
    <mergeCell ref="A67:D67"/>
    <mergeCell ref="F67:G67"/>
    <mergeCell ref="A1:G1"/>
    <mergeCell ref="A2:G2"/>
    <mergeCell ref="A13:E13"/>
    <mergeCell ref="A14:F14"/>
    <mergeCell ref="A15:F15"/>
    <mergeCell ref="A47:F47"/>
    <mergeCell ref="A48:F48"/>
    <mergeCell ref="A56:D56"/>
    <mergeCell ref="E56:F56"/>
    <mergeCell ref="A30:F30"/>
    <mergeCell ref="A31:F31"/>
    <mergeCell ref="A40:E40"/>
    <mergeCell ref="A41:F41"/>
  </mergeCells>
  <printOptions horizontalCentered="1"/>
  <pageMargins left="0.31496062992125984" right="0.31496062992125984" top="0.39370078740157483" bottom="0.39370078740157483" header="0.31496062992125984" footer="0.31496062992125984"/>
  <pageSetup paperSize="9" scale="70" orientation="portrait" verticalDpi="4294967293" r:id="rId1"/>
  <ignoredErrors>
    <ignoredError sqref="D20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70C0"/>
  </sheetPr>
  <dimension ref="A1:I54"/>
  <sheetViews>
    <sheetView view="pageBreakPreview" topLeftCell="A31" zoomScaleSheetLayoutView="100" workbookViewId="0">
      <selection sqref="A1:L34"/>
    </sheetView>
  </sheetViews>
  <sheetFormatPr defaultRowHeight="15"/>
  <cols>
    <col min="1" max="1" width="33.140625" customWidth="1"/>
    <col min="2" max="2" width="9.5703125" style="1" bestFit="1" customWidth="1"/>
    <col min="3" max="3" width="11.5703125" bestFit="1" customWidth="1"/>
    <col min="4" max="4" width="15.85546875" style="2" bestFit="1" customWidth="1"/>
    <col min="5" max="5" width="17.28515625" style="2" bestFit="1" customWidth="1"/>
    <col min="6" max="6" width="17.28515625" bestFit="1" customWidth="1"/>
    <col min="7" max="7" width="9" customWidth="1"/>
    <col min="8" max="8" width="15.42578125" bestFit="1" customWidth="1"/>
    <col min="9" max="9" width="9.5703125" bestFit="1" customWidth="1"/>
    <col min="11" max="12" width="14.28515625" bestFit="1" customWidth="1"/>
  </cols>
  <sheetData>
    <row r="1" spans="1:7" ht="56.25" customHeight="1" thickBot="1">
      <c r="A1" s="286" t="s">
        <v>271</v>
      </c>
      <c r="B1" s="287"/>
      <c r="C1" s="287"/>
      <c r="D1" s="287"/>
      <c r="E1" s="287"/>
      <c r="F1" s="287"/>
      <c r="G1" s="288"/>
    </row>
    <row r="2" spans="1:7" ht="15.75" thickBot="1">
      <c r="A2" s="289" t="s">
        <v>30</v>
      </c>
      <c r="B2" s="290"/>
      <c r="C2" s="290"/>
      <c r="D2" s="290"/>
      <c r="E2" s="290"/>
      <c r="F2" s="290"/>
      <c r="G2" s="291"/>
    </row>
    <row r="3" spans="1:7" ht="30.75" thickBot="1">
      <c r="A3" s="29" t="s">
        <v>0</v>
      </c>
      <c r="B3" s="30" t="s">
        <v>1</v>
      </c>
      <c r="C3" s="31" t="s">
        <v>35</v>
      </c>
      <c r="D3" s="32" t="s">
        <v>11</v>
      </c>
      <c r="E3" s="32" t="s">
        <v>12</v>
      </c>
      <c r="F3" s="33" t="s">
        <v>13</v>
      </c>
      <c r="G3" s="85">
        <f>1+B44</f>
        <v>1.2321</v>
      </c>
    </row>
    <row r="4" spans="1:7">
      <c r="A4" s="189" t="s">
        <v>257</v>
      </c>
      <c r="B4" s="190">
        <v>2</v>
      </c>
      <c r="C4" s="191">
        <f>H52</f>
        <v>1060</v>
      </c>
      <c r="D4" s="192">
        <f>(6000+2000)/200</f>
        <v>40</v>
      </c>
      <c r="E4" s="192">
        <f>B4*D4*C4</f>
        <v>84800</v>
      </c>
      <c r="F4" s="193">
        <f>E4*$G$3</f>
        <v>104482.08</v>
      </c>
      <c r="G4" s="49"/>
    </row>
    <row r="5" spans="1:7">
      <c r="A5" s="189" t="s">
        <v>259</v>
      </c>
      <c r="B5" s="190">
        <v>1</v>
      </c>
      <c r="C5" s="191">
        <f>C4</f>
        <v>1060</v>
      </c>
      <c r="D5" s="192">
        <f>(3500+1500)/200</f>
        <v>25</v>
      </c>
      <c r="E5" s="192">
        <f t="shared" ref="E5:E7" si="0">B5*D5*C5</f>
        <v>26500</v>
      </c>
      <c r="F5" s="193">
        <f t="shared" ref="F5:F7" si="1">E5*$G$3</f>
        <v>32650.649999999998</v>
      </c>
    </row>
    <row r="6" spans="1:7">
      <c r="A6" s="189" t="s">
        <v>258</v>
      </c>
      <c r="B6" s="190">
        <v>1</v>
      </c>
      <c r="C6" s="191">
        <f>C5</f>
        <v>1060</v>
      </c>
      <c r="D6" s="192">
        <f>(1500)/200</f>
        <v>7.5</v>
      </c>
      <c r="E6" s="192">
        <f t="shared" si="0"/>
        <v>7950</v>
      </c>
      <c r="F6" s="193">
        <f t="shared" si="1"/>
        <v>9795.1949999999997</v>
      </c>
    </row>
    <row r="7" spans="1:7" ht="15.75" thickBot="1">
      <c r="A7" s="189" t="s">
        <v>260</v>
      </c>
      <c r="B7" s="190">
        <v>1</v>
      </c>
      <c r="C7" s="191">
        <f>C6</f>
        <v>1060</v>
      </c>
      <c r="D7" s="192">
        <f>(3000+300)/200</f>
        <v>16.5</v>
      </c>
      <c r="E7" s="192">
        <f t="shared" si="0"/>
        <v>17490</v>
      </c>
      <c r="F7" s="207">
        <f t="shared" si="1"/>
        <v>21549.429</v>
      </c>
    </row>
    <row r="8" spans="1:7" ht="15.75" thickBot="1">
      <c r="A8" s="260"/>
      <c r="B8" s="260"/>
      <c r="C8" s="260"/>
      <c r="D8" s="260"/>
      <c r="E8" s="261"/>
      <c r="F8" s="208">
        <f>SUM(F4:F7)</f>
        <v>168477.35400000002</v>
      </c>
    </row>
    <row r="9" spans="1:7" ht="5.25" customHeight="1" thickBot="1">
      <c r="A9" s="266"/>
      <c r="B9" s="260"/>
      <c r="C9" s="260"/>
      <c r="D9" s="260"/>
      <c r="E9" s="260"/>
      <c r="F9" s="261"/>
    </row>
    <row r="10" spans="1:7" ht="15.75" thickBot="1">
      <c r="A10" s="267" t="s">
        <v>31</v>
      </c>
      <c r="B10" s="268"/>
      <c r="C10" s="268"/>
      <c r="D10" s="268"/>
      <c r="E10" s="268"/>
      <c r="F10" s="269"/>
    </row>
    <row r="11" spans="1:7">
      <c r="A11" s="189" t="s">
        <v>45</v>
      </c>
      <c r="B11" s="190">
        <f>B4</f>
        <v>2</v>
      </c>
      <c r="C11" s="191">
        <f>C4</f>
        <v>1060</v>
      </c>
      <c r="D11" s="192">
        <f>((4500/200))</f>
        <v>22.5</v>
      </c>
      <c r="E11" s="192">
        <f>B11*D11*C11</f>
        <v>47700</v>
      </c>
      <c r="F11" s="193">
        <f t="shared" ref="F11:F17" si="2">E11*$G$3</f>
        <v>58771.17</v>
      </c>
    </row>
    <row r="12" spans="1:7">
      <c r="A12" s="189" t="s">
        <v>261</v>
      </c>
      <c r="B12" s="190">
        <v>0</v>
      </c>
      <c r="C12" s="191">
        <f>C5</f>
        <v>1060</v>
      </c>
      <c r="D12" s="192">
        <f>((5500/200))</f>
        <v>27.5</v>
      </c>
      <c r="E12" s="192">
        <f t="shared" ref="E12:E13" si="3">B12*D12*C12</f>
        <v>0</v>
      </c>
      <c r="F12" s="193">
        <f t="shared" si="2"/>
        <v>0</v>
      </c>
    </row>
    <row r="13" spans="1:7">
      <c r="A13" s="189" t="s">
        <v>39</v>
      </c>
      <c r="B13" s="190">
        <f>B7</f>
        <v>1</v>
      </c>
      <c r="C13" s="191">
        <f>C7</f>
        <v>1060</v>
      </c>
      <c r="D13" s="192">
        <f>((5500/200))</f>
        <v>27.5</v>
      </c>
      <c r="E13" s="192">
        <f t="shared" si="3"/>
        <v>29150</v>
      </c>
      <c r="F13" s="193">
        <f t="shared" si="2"/>
        <v>35915.714999999997</v>
      </c>
    </row>
    <row r="14" spans="1:7">
      <c r="A14" s="189" t="s">
        <v>19</v>
      </c>
      <c r="B14" s="190">
        <v>1</v>
      </c>
      <c r="C14" s="191">
        <f>C5</f>
        <v>1060</v>
      </c>
      <c r="D14" s="192">
        <f>((8000/200))</f>
        <v>40</v>
      </c>
      <c r="E14" s="192">
        <f>B14*D14*C14</f>
        <v>42400</v>
      </c>
      <c r="F14" s="193">
        <f>E14*$G$3</f>
        <v>52241.04</v>
      </c>
    </row>
    <row r="15" spans="1:7">
      <c r="A15" s="189" t="s">
        <v>18</v>
      </c>
      <c r="B15" s="190">
        <v>2</v>
      </c>
      <c r="C15" s="191">
        <f>C14</f>
        <v>1060</v>
      </c>
      <c r="D15" s="192">
        <f>((4000/200))</f>
        <v>20</v>
      </c>
      <c r="E15" s="192">
        <f t="shared" ref="E15:E17" si="4">B15*D15*C15</f>
        <v>42400</v>
      </c>
      <c r="F15" s="193">
        <f t="shared" si="2"/>
        <v>52241.04</v>
      </c>
    </row>
    <row r="16" spans="1:7">
      <c r="A16" s="189" t="s">
        <v>3</v>
      </c>
      <c r="B16" s="190">
        <v>4</v>
      </c>
      <c r="C16" s="191">
        <f>C15</f>
        <v>1060</v>
      </c>
      <c r="D16" s="192">
        <f>((3700/200))</f>
        <v>18.5</v>
      </c>
      <c r="E16" s="192">
        <f t="shared" si="4"/>
        <v>78440</v>
      </c>
      <c r="F16" s="193">
        <f t="shared" si="2"/>
        <v>96645.923999999999</v>
      </c>
    </row>
    <row r="17" spans="1:8" ht="15.75" thickBot="1">
      <c r="A17" s="189" t="s">
        <v>4</v>
      </c>
      <c r="B17" s="190">
        <v>0</v>
      </c>
      <c r="C17" s="191">
        <f>C16</f>
        <v>1060</v>
      </c>
      <c r="D17" s="192">
        <f>((5700/200))</f>
        <v>28.5</v>
      </c>
      <c r="E17" s="192">
        <f t="shared" si="4"/>
        <v>0</v>
      </c>
      <c r="F17" s="193">
        <f t="shared" si="2"/>
        <v>0</v>
      </c>
    </row>
    <row r="18" spans="1:8" ht="15.75" thickBot="1">
      <c r="A18" s="260"/>
      <c r="B18" s="260"/>
      <c r="C18" s="260"/>
      <c r="D18" s="260"/>
      <c r="E18" s="261"/>
      <c r="F18" s="88">
        <f>SUM(F11:F17)</f>
        <v>295814.88899999997</v>
      </c>
    </row>
    <row r="19" spans="1:8" ht="4.5" customHeight="1" thickBot="1">
      <c r="A19" s="266"/>
      <c r="B19" s="260"/>
      <c r="C19" s="260"/>
      <c r="D19" s="260"/>
      <c r="E19" s="260"/>
      <c r="F19" s="261"/>
    </row>
    <row r="20" spans="1:8" ht="15.75" thickBot="1">
      <c r="A20" s="267" t="s">
        <v>32</v>
      </c>
      <c r="B20" s="268"/>
      <c r="C20" s="268"/>
      <c r="D20" s="268"/>
      <c r="E20" s="268"/>
      <c r="F20" s="269"/>
    </row>
    <row r="21" spans="1:8">
      <c r="A21" s="189" t="s">
        <v>67</v>
      </c>
      <c r="B21" s="201">
        <f>'Planilha Final'!D29</f>
        <v>4881.25</v>
      </c>
      <c r="C21" s="202" t="s">
        <v>64</v>
      </c>
      <c r="D21" s="192">
        <v>225</v>
      </c>
      <c r="E21" s="192">
        <f t="shared" ref="E21:E28" si="5">D21*B21</f>
        <v>1098281.25</v>
      </c>
      <c r="F21" s="193">
        <f>E21*$G$3</f>
        <v>1353192.328125</v>
      </c>
      <c r="H21" s="103">
        <f>E21+'Pavimentação '!E32</f>
        <v>3573281.25</v>
      </c>
    </row>
    <row r="22" spans="1:8">
      <c r="A22" s="203" t="s">
        <v>263</v>
      </c>
      <c r="B22" s="201">
        <f>C49*0.6</f>
        <v>16735.714285714283</v>
      </c>
      <c r="C22" s="204" t="s">
        <v>74</v>
      </c>
      <c r="D22" s="205">
        <v>2</v>
      </c>
      <c r="E22" s="192">
        <f t="shared" si="5"/>
        <v>33471.428571428565</v>
      </c>
      <c r="F22" s="193">
        <f t="shared" ref="F22:F28" si="6">E22*$G$3</f>
        <v>41240.147142857131</v>
      </c>
      <c r="G22" s="3"/>
    </row>
    <row r="23" spans="1:8">
      <c r="A23" s="203" t="s">
        <v>264</v>
      </c>
      <c r="B23" s="201">
        <v>0</v>
      </c>
      <c r="C23" s="204" t="s">
        <v>74</v>
      </c>
      <c r="D23" s="205">
        <v>4.0999999999999996</v>
      </c>
      <c r="E23" s="192">
        <f t="shared" si="5"/>
        <v>0</v>
      </c>
      <c r="F23" s="193">
        <f t="shared" si="6"/>
        <v>0</v>
      </c>
      <c r="G23" s="3"/>
    </row>
    <row r="24" spans="1:8">
      <c r="A24" s="203" t="s">
        <v>251</v>
      </c>
      <c r="B24" s="201">
        <v>0</v>
      </c>
      <c r="C24" s="204" t="s">
        <v>58</v>
      </c>
      <c r="D24" s="205">
        <v>1920</v>
      </c>
      <c r="E24" s="192">
        <f t="shared" si="5"/>
        <v>0</v>
      </c>
      <c r="F24" s="193">
        <f t="shared" si="6"/>
        <v>0</v>
      </c>
      <c r="G24" s="3"/>
    </row>
    <row r="25" spans="1:8">
      <c r="A25" s="203" t="s">
        <v>252</v>
      </c>
      <c r="B25" s="201">
        <v>0</v>
      </c>
      <c r="C25" s="204" t="s">
        <v>64</v>
      </c>
      <c r="D25" s="205">
        <v>1550</v>
      </c>
      <c r="E25" s="192">
        <f t="shared" si="5"/>
        <v>0</v>
      </c>
      <c r="F25" s="193">
        <f t="shared" si="6"/>
        <v>0</v>
      </c>
      <c r="G25" s="3"/>
    </row>
    <row r="26" spans="1:8">
      <c r="A26" s="189" t="s">
        <v>253</v>
      </c>
      <c r="B26" s="201">
        <v>0</v>
      </c>
      <c r="C26" s="202" t="s">
        <v>40</v>
      </c>
      <c r="D26" s="192">
        <v>1200</v>
      </c>
      <c r="E26" s="192">
        <f t="shared" si="5"/>
        <v>0</v>
      </c>
      <c r="F26" s="193">
        <f t="shared" si="6"/>
        <v>0</v>
      </c>
    </row>
    <row r="27" spans="1:8">
      <c r="A27" s="189" t="s">
        <v>254</v>
      </c>
      <c r="B27" s="201">
        <f>SUM(B11:B17)</f>
        <v>10</v>
      </c>
      <c r="C27" s="202" t="s">
        <v>59</v>
      </c>
      <c r="D27" s="192">
        <v>150</v>
      </c>
      <c r="E27" s="192">
        <f t="shared" si="5"/>
        <v>1500</v>
      </c>
      <c r="F27" s="193">
        <f t="shared" si="6"/>
        <v>1848.1499999999999</v>
      </c>
    </row>
    <row r="28" spans="1:8" ht="15.75" thickBot="1">
      <c r="A28" s="189" t="s">
        <v>70</v>
      </c>
      <c r="B28" s="201">
        <v>0</v>
      </c>
      <c r="C28" s="202" t="s">
        <v>63</v>
      </c>
      <c r="D28" s="192">
        <v>350</v>
      </c>
      <c r="E28" s="192">
        <f t="shared" si="5"/>
        <v>0</v>
      </c>
      <c r="F28" s="207">
        <f t="shared" si="6"/>
        <v>0</v>
      </c>
    </row>
    <row r="29" spans="1:8" ht="15.75" thickBot="1">
      <c r="A29" s="266"/>
      <c r="B29" s="260"/>
      <c r="C29" s="260"/>
      <c r="D29" s="260"/>
      <c r="E29" s="261"/>
      <c r="F29" s="208">
        <f>SUM(F21:F28)</f>
        <v>1396280.625267857</v>
      </c>
      <c r="G29" s="3"/>
      <c r="H29" s="3"/>
    </row>
    <row r="30" spans="1:8" ht="4.5" customHeight="1" thickBot="1">
      <c r="A30" s="266"/>
      <c r="B30" s="260"/>
      <c r="C30" s="260"/>
      <c r="D30" s="260"/>
      <c r="E30" s="260"/>
      <c r="F30" s="261"/>
      <c r="G30" s="3"/>
      <c r="H30" s="3"/>
    </row>
    <row r="31" spans="1:8" ht="15.75" thickBot="1">
      <c r="A31" s="278" t="s">
        <v>47</v>
      </c>
      <c r="B31" s="279"/>
      <c r="C31" s="279"/>
      <c r="D31" s="279"/>
      <c r="E31" s="280"/>
      <c r="F31" s="63"/>
    </row>
    <row r="32" spans="1:8">
      <c r="A32" s="64" t="s">
        <v>0</v>
      </c>
      <c r="B32" s="65" t="s">
        <v>1</v>
      </c>
      <c r="C32" s="66" t="s">
        <v>49</v>
      </c>
      <c r="D32" s="67" t="s">
        <v>11</v>
      </c>
      <c r="E32" s="65" t="s">
        <v>12</v>
      </c>
      <c r="F32" s="68" t="s">
        <v>13</v>
      </c>
    </row>
    <row r="33" spans="1:9">
      <c r="A33" s="16" t="s">
        <v>75</v>
      </c>
      <c r="B33" s="5">
        <v>1</v>
      </c>
      <c r="C33" s="4">
        <f>ROUNDUP(G52,0)</f>
        <v>6</v>
      </c>
      <c r="D33" s="6">
        <v>12000</v>
      </c>
      <c r="E33" s="6">
        <f>B33*C33*D33</f>
        <v>72000</v>
      </c>
      <c r="F33" s="15">
        <f t="shared" ref="F33:F34" si="7">E33*$G$3</f>
        <v>88711.2</v>
      </c>
    </row>
    <row r="34" spans="1:9" ht="15.75" thickBot="1">
      <c r="A34" s="40" t="s">
        <v>48</v>
      </c>
      <c r="B34" s="41">
        <v>1</v>
      </c>
      <c r="C34" s="69">
        <f>ROUNDUP(SUMPRODUCT(B11:B17,C11:C17)/8,0)</f>
        <v>1325</v>
      </c>
      <c r="D34" s="42">
        <v>15</v>
      </c>
      <c r="E34" s="42">
        <f>D34*C34*B34</f>
        <v>19875</v>
      </c>
      <c r="F34" s="15">
        <f t="shared" si="7"/>
        <v>24487.987499999999</v>
      </c>
    </row>
    <row r="35" spans="1:9" ht="15.75" thickBot="1">
      <c r="A35" s="260"/>
      <c r="B35" s="260"/>
      <c r="C35" s="260"/>
      <c r="D35" s="260"/>
      <c r="E35" s="261"/>
      <c r="F35" s="89">
        <f>SUM(F33:F34)</f>
        <v>113199.1875</v>
      </c>
    </row>
    <row r="36" spans="1:9" ht="4.5" customHeight="1" thickBot="1">
      <c r="A36" s="266"/>
      <c r="B36" s="260"/>
      <c r="C36" s="260"/>
      <c r="D36" s="260"/>
      <c r="E36" s="260"/>
      <c r="F36" s="261"/>
    </row>
    <row r="37" spans="1:9" ht="15.75" thickBot="1">
      <c r="A37" s="270" t="s">
        <v>50</v>
      </c>
      <c r="B37" s="271"/>
      <c r="C37" s="292"/>
      <c r="D37" s="271"/>
      <c r="E37" s="271"/>
      <c r="F37" s="272"/>
      <c r="I37" t="s">
        <v>51</v>
      </c>
    </row>
    <row r="38" spans="1:9">
      <c r="A38" s="70" t="s">
        <v>52</v>
      </c>
      <c r="B38" s="71">
        <f>'Pavimentação '!B49</f>
        <v>0.01</v>
      </c>
      <c r="C38" s="105">
        <f t="shared" ref="C38:C43" si="8">($F$35+$F$29+$F$18+$F$8)*B38</f>
        <v>19737.720557678571</v>
      </c>
      <c r="D38" s="73"/>
      <c r="E38" s="72"/>
      <c r="F38" s="74"/>
    </row>
    <row r="39" spans="1:9">
      <c r="A39" s="75" t="s">
        <v>53</v>
      </c>
      <c r="B39" s="76">
        <f>'Pavimentação '!B50</f>
        <v>5.0000000000000001E-3</v>
      </c>
      <c r="C39" s="106">
        <f t="shared" si="8"/>
        <v>9868.8602788392855</v>
      </c>
      <c r="D39" s="51"/>
      <c r="E39" s="50"/>
      <c r="F39" s="77"/>
      <c r="I39" t="s">
        <v>51</v>
      </c>
    </row>
    <row r="40" spans="1:9">
      <c r="A40" s="75" t="s">
        <v>54</v>
      </c>
      <c r="B40" s="76">
        <f>'Pavimentação '!B51</f>
        <v>0.05</v>
      </c>
      <c r="C40" s="106">
        <f t="shared" si="8"/>
        <v>98688.602788392862</v>
      </c>
      <c r="D40" s="51"/>
      <c r="E40" s="50"/>
      <c r="F40" s="77"/>
    </row>
    <row r="41" spans="1:9">
      <c r="A41" s="75" t="s">
        <v>269</v>
      </c>
      <c r="B41" s="210">
        <f>'Pavimentação '!B52</f>
        <v>1.21E-2</v>
      </c>
      <c r="C41" s="106">
        <f t="shared" si="8"/>
        <v>23882.641874791068</v>
      </c>
      <c r="D41" s="51"/>
      <c r="E41" s="50"/>
      <c r="F41" s="77"/>
    </row>
    <row r="42" spans="1:9">
      <c r="A42" s="75" t="s">
        <v>55</v>
      </c>
      <c r="B42" s="76">
        <f>'Pavimentação '!B53</f>
        <v>0.1</v>
      </c>
      <c r="C42" s="106">
        <f t="shared" si="8"/>
        <v>197377.20557678572</v>
      </c>
      <c r="D42" s="51"/>
      <c r="E42" s="50"/>
      <c r="F42" s="77"/>
    </row>
    <row r="43" spans="1:9" ht="15.75" thickBot="1">
      <c r="A43" s="78" t="s">
        <v>56</v>
      </c>
      <c r="B43" s="79">
        <f>'Pavimentação '!B54</f>
        <v>5.5E-2</v>
      </c>
      <c r="C43" s="107">
        <f t="shared" si="8"/>
        <v>108557.46306723214</v>
      </c>
      <c r="D43" s="81"/>
      <c r="E43" s="80"/>
      <c r="F43" s="82"/>
    </row>
    <row r="44" spans="1:9" ht="15.75" thickBot="1">
      <c r="A44" s="83" t="s">
        <v>33</v>
      </c>
      <c r="B44" s="84">
        <f>SUM(B38:B43)</f>
        <v>0.2321</v>
      </c>
      <c r="E44"/>
    </row>
    <row r="45" spans="1:9" ht="19.5" thickBot="1">
      <c r="A45" s="273" t="s">
        <v>33</v>
      </c>
      <c r="B45" s="274"/>
      <c r="C45" s="274"/>
      <c r="D45" s="275"/>
      <c r="E45" s="276">
        <f>SUM(F29,F18,F8,F35)</f>
        <v>1973772.055767857</v>
      </c>
      <c r="F45" s="277"/>
      <c r="H45" s="62"/>
    </row>
    <row r="46" spans="1:9" ht="18.75">
      <c r="A46" s="211"/>
      <c r="B46" s="211"/>
      <c r="C46" s="211"/>
      <c r="D46" s="211"/>
      <c r="E46" s="212"/>
      <c r="F46" s="212"/>
      <c r="G46" s="213"/>
      <c r="H46" s="62"/>
    </row>
    <row r="47" spans="1:9">
      <c r="A47" s="293" t="s">
        <v>255</v>
      </c>
      <c r="B47" s="293"/>
      <c r="C47" s="293"/>
      <c r="D47" s="293"/>
      <c r="E47" s="293"/>
      <c r="F47" s="293"/>
      <c r="G47" s="293"/>
    </row>
    <row r="48" spans="1:9">
      <c r="A48" s="156" t="s">
        <v>147</v>
      </c>
      <c r="B48" s="111" t="s">
        <v>157</v>
      </c>
      <c r="C48" s="112" t="s">
        <v>156</v>
      </c>
      <c r="D48" s="113"/>
      <c r="E48" s="109"/>
      <c r="F48" s="108"/>
      <c r="G48" s="110"/>
    </row>
    <row r="49" spans="1:8">
      <c r="A49" s="144" t="s">
        <v>158</v>
      </c>
      <c r="B49" s="145">
        <v>7.0000000000000007E-2</v>
      </c>
      <c r="C49" s="146">
        <f>4881.25/2.5/0.07</f>
        <v>27892.857142857141</v>
      </c>
      <c r="D49" s="147">
        <f>B49*C49*2.5</f>
        <v>4881.25</v>
      </c>
      <c r="E49" s="148" t="s">
        <v>159</v>
      </c>
      <c r="F49" s="294" t="s">
        <v>160</v>
      </c>
      <c r="G49" s="295"/>
    </row>
    <row r="50" spans="1:8">
      <c r="A50" s="149" t="s">
        <v>161</v>
      </c>
      <c r="B50" s="150"/>
      <c r="C50" s="50"/>
      <c r="D50" s="151">
        <v>40</v>
      </c>
      <c r="E50" s="51" t="s">
        <v>162</v>
      </c>
      <c r="F50" s="284">
        <f>E45</f>
        <v>1973772.055767857</v>
      </c>
      <c r="G50" s="285"/>
    </row>
    <row r="51" spans="1:8">
      <c r="A51" s="152" t="s">
        <v>262</v>
      </c>
      <c r="B51" s="206" t="s">
        <v>267</v>
      </c>
      <c r="C51" s="209">
        <f>H51</f>
        <v>960</v>
      </c>
      <c r="D51" s="153">
        <f>D50*1</f>
        <v>40</v>
      </c>
      <c r="E51" s="154" t="s">
        <v>162</v>
      </c>
      <c r="F51" s="114">
        <f>F50/D49</f>
        <v>404.35791155295408</v>
      </c>
      <c r="G51" s="115" t="s">
        <v>159</v>
      </c>
      <c r="H51" s="104">
        <f>D51*24</f>
        <v>960</v>
      </c>
    </row>
    <row r="52" spans="1:8">
      <c r="A52" s="141" t="s">
        <v>164</v>
      </c>
      <c r="B52" s="209" t="s">
        <v>266</v>
      </c>
      <c r="C52" s="209">
        <f>H52</f>
        <v>1060</v>
      </c>
      <c r="D52" s="199" t="s">
        <v>248</v>
      </c>
      <c r="E52" s="155">
        <f>ROUNDUP((D49/D51)*1.3,0)</f>
        <v>159</v>
      </c>
      <c r="F52" s="142" t="s">
        <v>249</v>
      </c>
      <c r="G52" s="143">
        <f>E52/30</f>
        <v>5.3</v>
      </c>
      <c r="H52">
        <f>ROUNDUP(G52*200,0)</f>
        <v>1060</v>
      </c>
    </row>
    <row r="53" spans="1:8">
      <c r="A53" s="281" t="s">
        <v>265</v>
      </c>
      <c r="B53" s="282"/>
      <c r="C53" s="282"/>
      <c r="D53" s="283"/>
      <c r="E53" s="116"/>
      <c r="F53" s="284">
        <f>F21+F22+F23</f>
        <v>1394432.4752678571</v>
      </c>
      <c r="G53" s="285"/>
    </row>
    <row r="54" spans="1:8">
      <c r="E54" s="116" t="s">
        <v>159</v>
      </c>
      <c r="F54" s="117">
        <f>(F21+F22+F23)/B21</f>
        <v>285.67118571428568</v>
      </c>
      <c r="G54" s="115" t="s">
        <v>159</v>
      </c>
    </row>
  </sheetData>
  <mergeCells count="21">
    <mergeCell ref="A35:E35"/>
    <mergeCell ref="A1:G1"/>
    <mergeCell ref="A2:G2"/>
    <mergeCell ref="A8:E8"/>
    <mergeCell ref="A9:F9"/>
    <mergeCell ref="A10:F10"/>
    <mergeCell ref="A18:E18"/>
    <mergeCell ref="A19:F19"/>
    <mergeCell ref="A20:F20"/>
    <mergeCell ref="A29:E29"/>
    <mergeCell ref="A30:F30"/>
    <mergeCell ref="A31:E31"/>
    <mergeCell ref="F50:G50"/>
    <mergeCell ref="A53:D53"/>
    <mergeCell ref="F53:G53"/>
    <mergeCell ref="A36:F36"/>
    <mergeCell ref="A37:F37"/>
    <mergeCell ref="A45:D45"/>
    <mergeCell ref="E45:F45"/>
    <mergeCell ref="A47:G47"/>
    <mergeCell ref="F49:G49"/>
  </mergeCells>
  <printOptions horizontalCentered="1"/>
  <pageMargins left="0.31496062992125984" right="0.31496062992125984" top="0.39370078740157483" bottom="0.39370078740157483" header="0.31496062992125984" footer="0.31496062992125984"/>
  <pageSetup paperSize="9" scale="80" orientation="portrait" vertic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4"/>
  <sheetViews>
    <sheetView topLeftCell="B1" zoomScale="90" zoomScaleNormal="90" workbookViewId="0">
      <selection sqref="A1:L34"/>
    </sheetView>
  </sheetViews>
  <sheetFormatPr defaultRowHeight="15"/>
  <cols>
    <col min="1" max="1" width="12" style="1" customWidth="1"/>
    <col min="2" max="2" width="9.140625" style="1"/>
    <col min="3" max="3" width="88.42578125" bestFit="1" customWidth="1"/>
    <col min="4" max="4" width="11" style="1" bestFit="1" customWidth="1"/>
    <col min="5" max="5" width="8" style="1" bestFit="1" customWidth="1"/>
    <col min="6" max="6" width="9.85546875" style="1" customWidth="1"/>
    <col min="7" max="7" width="10.140625" customWidth="1"/>
    <col min="8" max="8" width="18.5703125" customWidth="1"/>
  </cols>
  <sheetData>
    <row r="1" spans="1:8">
      <c r="A1" s="296" t="s">
        <v>272</v>
      </c>
      <c r="B1" s="296"/>
      <c r="C1" s="296"/>
      <c r="D1" s="296"/>
      <c r="E1" s="296"/>
      <c r="F1" s="296"/>
      <c r="G1" s="296"/>
      <c r="H1" s="296"/>
    </row>
    <row r="2" spans="1:8">
      <c r="A2" s="296" t="s">
        <v>273</v>
      </c>
      <c r="B2" s="296"/>
      <c r="C2" s="296"/>
      <c r="D2" s="296"/>
      <c r="E2" s="296"/>
      <c r="F2" s="296"/>
      <c r="G2" s="296"/>
      <c r="H2" s="296"/>
    </row>
    <row r="5" spans="1:8" s="157" customFormat="1" ht="45">
      <c r="A5" s="44"/>
      <c r="B5" s="159" t="s">
        <v>221</v>
      </c>
      <c r="C5" s="159" t="s">
        <v>222</v>
      </c>
      <c r="D5" s="159" t="s">
        <v>223</v>
      </c>
      <c r="E5" s="159" t="s">
        <v>224</v>
      </c>
      <c r="F5" s="160" t="s">
        <v>225</v>
      </c>
      <c r="G5" s="160" t="s">
        <v>226</v>
      </c>
      <c r="H5" s="215" t="s">
        <v>227</v>
      </c>
    </row>
    <row r="6" spans="1:8">
      <c r="A6" s="170"/>
      <c r="B6" s="171">
        <v>1</v>
      </c>
      <c r="C6" s="171" t="s">
        <v>220</v>
      </c>
      <c r="D6" s="171"/>
      <c r="E6" s="171"/>
      <c r="F6" s="171"/>
      <c r="G6" s="172"/>
      <c r="H6" s="173"/>
    </row>
    <row r="7" spans="1:8">
      <c r="A7" s="174" t="s">
        <v>178</v>
      </c>
      <c r="B7" s="174" t="s">
        <v>180</v>
      </c>
      <c r="C7" s="175" t="s">
        <v>182</v>
      </c>
      <c r="D7" s="174">
        <v>34.380000000000003</v>
      </c>
      <c r="E7" s="174" t="s">
        <v>228</v>
      </c>
      <c r="F7" s="174">
        <v>9.08</v>
      </c>
      <c r="G7" s="174">
        <v>11.28</v>
      </c>
      <c r="H7" s="176">
        <f>G7*D7</f>
        <v>387.8064</v>
      </c>
    </row>
    <row r="8" spans="1:8">
      <c r="A8" s="161" t="s">
        <v>178</v>
      </c>
      <c r="B8" s="161" t="s">
        <v>181</v>
      </c>
      <c r="C8" s="165" t="s">
        <v>183</v>
      </c>
      <c r="D8" s="161">
        <v>34.380000000000003</v>
      </c>
      <c r="E8" s="161" t="s">
        <v>228</v>
      </c>
      <c r="F8" s="226">
        <v>119.14</v>
      </c>
      <c r="G8" s="227">
        <v>148</v>
      </c>
      <c r="H8" s="167">
        <f>G8*D8</f>
        <v>5088.2400000000007</v>
      </c>
    </row>
    <row r="9" spans="1:8" s="187" customFormat="1" ht="15.75">
      <c r="A9" s="184"/>
      <c r="B9" s="184"/>
      <c r="C9" s="185" t="s">
        <v>233</v>
      </c>
      <c r="D9" s="184"/>
      <c r="E9" s="184"/>
      <c r="F9" s="184"/>
      <c r="G9" s="186"/>
      <c r="H9" s="188">
        <f>SUM(H7:H8)</f>
        <v>5476.0464000000011</v>
      </c>
    </row>
    <row r="10" spans="1:8">
      <c r="A10" s="170"/>
      <c r="B10" s="171">
        <v>2</v>
      </c>
      <c r="C10" s="171" t="s">
        <v>147</v>
      </c>
      <c r="D10" s="171"/>
      <c r="E10" s="171"/>
      <c r="F10" s="171"/>
      <c r="G10" s="171"/>
      <c r="H10" s="173"/>
    </row>
    <row r="11" spans="1:8">
      <c r="A11" s="161" t="s">
        <v>179</v>
      </c>
      <c r="B11" s="161" t="s">
        <v>197</v>
      </c>
      <c r="C11" s="165" t="s">
        <v>184</v>
      </c>
      <c r="D11" s="166">
        <v>137.5</v>
      </c>
      <c r="E11" s="161" t="s">
        <v>229</v>
      </c>
      <c r="F11" s="166">
        <v>9.57</v>
      </c>
      <c r="G11" s="166">
        <v>11.89</v>
      </c>
      <c r="H11" s="167">
        <f t="shared" ref="H11:H15" si="0">G11*D11</f>
        <v>1634.875</v>
      </c>
    </row>
    <row r="12" spans="1:8">
      <c r="A12" s="161" t="s">
        <v>178</v>
      </c>
      <c r="B12" s="161" t="s">
        <v>198</v>
      </c>
      <c r="C12" s="165" t="s">
        <v>185</v>
      </c>
      <c r="D12" s="166">
        <v>687.5</v>
      </c>
      <c r="E12" s="161" t="s">
        <v>229</v>
      </c>
      <c r="F12" s="166">
        <v>16</v>
      </c>
      <c r="G12" s="166">
        <v>19.88</v>
      </c>
      <c r="H12" s="167">
        <f t="shared" si="0"/>
        <v>13667.5</v>
      </c>
    </row>
    <row r="13" spans="1:8">
      <c r="A13" s="161" t="s">
        <v>178</v>
      </c>
      <c r="B13" s="161" t="s">
        <v>199</v>
      </c>
      <c r="C13" s="165" t="s">
        <v>186</v>
      </c>
      <c r="D13" s="166">
        <v>4606.25</v>
      </c>
      <c r="E13" s="161" t="s">
        <v>228</v>
      </c>
      <c r="F13" s="166">
        <v>1.45</v>
      </c>
      <c r="G13" s="166">
        <v>1.8</v>
      </c>
      <c r="H13" s="167">
        <f t="shared" si="0"/>
        <v>8291.25</v>
      </c>
    </row>
    <row r="14" spans="1:8">
      <c r="A14" s="161" t="s">
        <v>178</v>
      </c>
      <c r="B14" s="161" t="s">
        <v>200</v>
      </c>
      <c r="C14" s="165" t="s">
        <v>187</v>
      </c>
      <c r="D14" s="166">
        <v>23031.25</v>
      </c>
      <c r="E14" s="161" t="s">
        <v>230</v>
      </c>
      <c r="F14" s="166">
        <v>1.3</v>
      </c>
      <c r="G14" s="166">
        <v>1.61</v>
      </c>
      <c r="H14" s="167">
        <f t="shared" si="0"/>
        <v>37080.3125</v>
      </c>
    </row>
    <row r="15" spans="1:8">
      <c r="A15" s="161" t="s">
        <v>179</v>
      </c>
      <c r="B15" s="161" t="s">
        <v>201</v>
      </c>
      <c r="C15" s="165" t="s">
        <v>188</v>
      </c>
      <c r="D15" s="166">
        <v>171.88</v>
      </c>
      <c r="E15" s="161" t="s">
        <v>59</v>
      </c>
      <c r="F15" s="166">
        <v>1.61</v>
      </c>
      <c r="G15" s="166">
        <v>2</v>
      </c>
      <c r="H15" s="167">
        <f t="shared" si="0"/>
        <v>343.76</v>
      </c>
    </row>
    <row r="16" spans="1:8">
      <c r="A16" s="177" t="s">
        <v>179</v>
      </c>
      <c r="B16" s="177" t="s">
        <v>202</v>
      </c>
      <c r="C16" s="178" t="s">
        <v>189</v>
      </c>
      <c r="D16" s="179"/>
      <c r="E16" s="177"/>
      <c r="F16" s="179"/>
      <c r="G16" s="179"/>
      <c r="H16" s="180"/>
    </row>
    <row r="17" spans="1:8">
      <c r="A17" s="161" t="s">
        <v>179</v>
      </c>
      <c r="B17" s="161" t="s">
        <v>203</v>
      </c>
      <c r="C17" s="165" t="s">
        <v>190</v>
      </c>
      <c r="D17" s="166">
        <v>17187.5</v>
      </c>
      <c r="E17" s="161" t="s">
        <v>229</v>
      </c>
      <c r="F17" s="166">
        <v>5</v>
      </c>
      <c r="G17" s="166">
        <v>6.21</v>
      </c>
      <c r="H17" s="167">
        <f t="shared" ref="H17:H26" si="1">G17*D17</f>
        <v>106734.375</v>
      </c>
    </row>
    <row r="18" spans="1:8">
      <c r="A18" s="161" t="s">
        <v>179</v>
      </c>
      <c r="B18" s="161" t="s">
        <v>204</v>
      </c>
      <c r="C18" s="165" t="s">
        <v>191</v>
      </c>
      <c r="D18" s="166">
        <v>57750</v>
      </c>
      <c r="E18" s="161" t="s">
        <v>229</v>
      </c>
      <c r="F18" s="166">
        <v>5.5</v>
      </c>
      <c r="G18" s="166">
        <v>6.83</v>
      </c>
      <c r="H18" s="167">
        <f t="shared" si="1"/>
        <v>394432.5</v>
      </c>
    </row>
    <row r="19" spans="1:8">
      <c r="A19" s="169" t="s">
        <v>234</v>
      </c>
      <c r="B19" s="161" t="s">
        <v>207</v>
      </c>
      <c r="C19" s="165" t="s">
        <v>192</v>
      </c>
      <c r="D19" s="166">
        <v>137.5</v>
      </c>
      <c r="E19" s="161" t="s">
        <v>228</v>
      </c>
      <c r="F19" s="166">
        <v>55</v>
      </c>
      <c r="G19" s="166">
        <v>68.33</v>
      </c>
      <c r="H19" s="167">
        <f t="shared" si="1"/>
        <v>9395.375</v>
      </c>
    </row>
    <row r="20" spans="1:8" s="158" customFormat="1">
      <c r="A20" s="169" t="s">
        <v>178</v>
      </c>
      <c r="B20" s="161" t="s">
        <v>205</v>
      </c>
      <c r="C20" s="165" t="s">
        <v>193</v>
      </c>
      <c r="D20" s="166">
        <v>687.5</v>
      </c>
      <c r="E20" s="161" t="s">
        <v>229</v>
      </c>
      <c r="F20" s="166">
        <v>1.1200000000000001</v>
      </c>
      <c r="G20" s="166">
        <v>1.39</v>
      </c>
      <c r="H20" s="167">
        <f t="shared" si="1"/>
        <v>955.62499999999989</v>
      </c>
    </row>
    <row r="21" spans="1:8">
      <c r="A21" s="161" t="s">
        <v>178</v>
      </c>
      <c r="B21" s="161" t="s">
        <v>206</v>
      </c>
      <c r="C21" s="165" t="s">
        <v>194</v>
      </c>
      <c r="D21" s="166">
        <v>137.5</v>
      </c>
      <c r="E21" s="161" t="s">
        <v>228</v>
      </c>
      <c r="F21" s="166">
        <v>90</v>
      </c>
      <c r="G21" s="166">
        <v>111.81</v>
      </c>
      <c r="H21" s="167">
        <f t="shared" si="1"/>
        <v>15373.875</v>
      </c>
    </row>
    <row r="22" spans="1:8">
      <c r="A22" s="161" t="s">
        <v>178</v>
      </c>
      <c r="B22" s="161" t="s">
        <v>208</v>
      </c>
      <c r="C22" s="165" t="s">
        <v>195</v>
      </c>
      <c r="D22" s="166">
        <v>1375</v>
      </c>
      <c r="E22" s="161" t="s">
        <v>230</v>
      </c>
      <c r="F22" s="166">
        <v>1.01</v>
      </c>
      <c r="G22" s="166">
        <v>1.25</v>
      </c>
      <c r="H22" s="167">
        <f t="shared" si="1"/>
        <v>1718.75</v>
      </c>
    </row>
    <row r="23" spans="1:8">
      <c r="A23" s="161" t="s">
        <v>178</v>
      </c>
      <c r="B23" s="161" t="s">
        <v>209</v>
      </c>
      <c r="C23" s="165" t="s">
        <v>196</v>
      </c>
      <c r="D23" s="166">
        <v>687.5</v>
      </c>
      <c r="E23" s="161" t="s">
        <v>229</v>
      </c>
      <c r="F23" s="166">
        <v>3</v>
      </c>
      <c r="G23" s="166">
        <v>3.73</v>
      </c>
      <c r="H23" s="167">
        <f t="shared" si="1"/>
        <v>2564.375</v>
      </c>
    </row>
    <row r="24" spans="1:8">
      <c r="A24" s="161" t="s">
        <v>178</v>
      </c>
      <c r="B24" s="161" t="s">
        <v>210</v>
      </c>
      <c r="C24" s="165" t="s">
        <v>211</v>
      </c>
      <c r="D24" s="166">
        <v>74937.5</v>
      </c>
      <c r="E24" s="161" t="s">
        <v>229</v>
      </c>
      <c r="F24" s="166">
        <v>0.9</v>
      </c>
      <c r="G24" s="166">
        <v>1.1200000000000001</v>
      </c>
      <c r="H24" s="167">
        <f t="shared" si="1"/>
        <v>83930.000000000015</v>
      </c>
    </row>
    <row r="25" spans="1:8" ht="45">
      <c r="A25" s="161" t="s">
        <v>178</v>
      </c>
      <c r="B25" s="161" t="s">
        <v>212</v>
      </c>
      <c r="C25" s="164" t="s">
        <v>213</v>
      </c>
      <c r="D25" s="166">
        <v>11000</v>
      </c>
      <c r="E25" s="161" t="s">
        <v>231</v>
      </c>
      <c r="F25" s="166">
        <v>240</v>
      </c>
      <c r="G25" s="166">
        <v>298.14999999999998</v>
      </c>
      <c r="H25" s="167">
        <f t="shared" si="1"/>
        <v>3279649.9999999995</v>
      </c>
    </row>
    <row r="26" spans="1:8">
      <c r="A26" s="181" t="s">
        <v>178</v>
      </c>
      <c r="B26" s="181" t="s">
        <v>215</v>
      </c>
      <c r="C26" s="182" t="s">
        <v>214</v>
      </c>
      <c r="D26" s="183">
        <v>110000</v>
      </c>
      <c r="E26" s="181" t="s">
        <v>232</v>
      </c>
      <c r="F26" s="183">
        <v>0.52</v>
      </c>
      <c r="G26" s="183">
        <v>0.65</v>
      </c>
      <c r="H26" s="167">
        <f t="shared" si="1"/>
        <v>71500</v>
      </c>
    </row>
    <row r="27" spans="1:8" s="187" customFormat="1" ht="15.75">
      <c r="A27" s="184"/>
      <c r="B27" s="184"/>
      <c r="C27" s="185" t="s">
        <v>233</v>
      </c>
      <c r="D27" s="184"/>
      <c r="E27" s="184"/>
      <c r="F27" s="184"/>
      <c r="G27" s="186"/>
      <c r="H27" s="188">
        <f>SUM(H11:H26)</f>
        <v>4027272.5724999998</v>
      </c>
    </row>
    <row r="28" spans="1:8">
      <c r="A28" s="168"/>
      <c r="B28" s="162">
        <v>3</v>
      </c>
      <c r="C28" s="162" t="s">
        <v>216</v>
      </c>
      <c r="D28" s="162"/>
      <c r="E28" s="162"/>
      <c r="F28" s="162"/>
      <c r="G28" s="162"/>
      <c r="H28" s="163"/>
    </row>
    <row r="29" spans="1:8" ht="30">
      <c r="A29" s="169" t="s">
        <v>235</v>
      </c>
      <c r="B29" s="161" t="s">
        <v>218</v>
      </c>
      <c r="C29" s="164" t="s">
        <v>217</v>
      </c>
      <c r="D29" s="166">
        <v>4881.25</v>
      </c>
      <c r="E29" s="161" t="s">
        <v>236</v>
      </c>
      <c r="F29" s="166">
        <v>250</v>
      </c>
      <c r="G29" s="166">
        <v>310.57</v>
      </c>
      <c r="H29" s="167">
        <f>G29*D29</f>
        <v>1515969.8125</v>
      </c>
    </row>
    <row r="30" spans="1:8">
      <c r="A30" s="181" t="s">
        <v>178</v>
      </c>
      <c r="B30" s="181" t="s">
        <v>219</v>
      </c>
      <c r="C30" s="182" t="s">
        <v>214</v>
      </c>
      <c r="D30" s="183">
        <v>48125</v>
      </c>
      <c r="E30" s="181" t="s">
        <v>237</v>
      </c>
      <c r="F30" s="183">
        <v>0.52</v>
      </c>
      <c r="G30" s="183">
        <v>0.65</v>
      </c>
      <c r="H30" s="167">
        <f>G30*D30</f>
        <v>31281.25</v>
      </c>
    </row>
    <row r="31" spans="1:8" s="187" customFormat="1" ht="15.75">
      <c r="A31" s="184"/>
      <c r="B31" s="184"/>
      <c r="C31" s="185" t="s">
        <v>233</v>
      </c>
      <c r="D31" s="184"/>
      <c r="E31" s="184"/>
      <c r="F31" s="184"/>
      <c r="G31" s="186"/>
      <c r="H31" s="188">
        <f>SUM(H29:H30)</f>
        <v>1547251.0625</v>
      </c>
    </row>
    <row r="32" spans="1:8" s="187" customFormat="1" ht="15.75">
      <c r="A32" s="184"/>
      <c r="B32" s="184"/>
      <c r="C32" s="185" t="s">
        <v>33</v>
      </c>
      <c r="D32" s="184"/>
      <c r="E32" s="184"/>
      <c r="F32" s="184"/>
      <c r="G32" s="186"/>
      <c r="H32" s="188">
        <f>H31+H27+H9</f>
        <v>5579999.6814000001</v>
      </c>
    </row>
    <row r="34" spans="1:8" ht="191.45" customHeight="1">
      <c r="A34" s="297" t="s">
        <v>274</v>
      </c>
      <c r="B34" s="298"/>
      <c r="C34" s="298"/>
      <c r="D34" s="298"/>
      <c r="E34" s="298"/>
      <c r="F34" s="298"/>
      <c r="G34" s="298"/>
      <c r="H34" s="298"/>
    </row>
  </sheetData>
  <mergeCells count="3">
    <mergeCell ref="A1:H1"/>
    <mergeCell ref="A2:H2"/>
    <mergeCell ref="A34:H34"/>
  </mergeCells>
  <printOptions horizontalCentered="1"/>
  <pageMargins left="0.51181102362204722" right="1.1023622047244095" top="0.78740157480314965" bottom="0.78740157480314965" header="0.31496062992125984" footer="0.31496062992125984"/>
  <pageSetup paperSize="9" scale="6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J32"/>
  <sheetViews>
    <sheetView tabSelected="1" workbookViewId="0">
      <selection activeCell="J33" sqref="A1:J33"/>
    </sheetView>
  </sheetViews>
  <sheetFormatPr defaultRowHeight="15"/>
  <cols>
    <col min="1" max="1" width="5.5703125" bestFit="1" customWidth="1"/>
    <col min="2" max="2" width="9.85546875" bestFit="1" customWidth="1"/>
    <col min="3" max="3" width="16.140625" bestFit="1" customWidth="1"/>
    <col min="4" max="4" width="52.140625" customWidth="1"/>
    <col min="5" max="5" width="8.5703125" style="228" customWidth="1"/>
    <col min="6" max="6" width="13.28515625" style="228" bestFit="1" customWidth="1"/>
    <col min="7" max="7" width="11" bestFit="1" customWidth="1"/>
    <col min="8" max="8" width="11.85546875" bestFit="1" customWidth="1"/>
    <col min="9" max="10" width="15.140625" bestFit="1" customWidth="1"/>
  </cols>
  <sheetData>
    <row r="1" spans="1:10" ht="141.75" customHeight="1">
      <c r="A1" s="308"/>
      <c r="B1" s="309"/>
      <c r="C1" s="309"/>
      <c r="D1" s="309"/>
      <c r="E1" s="309"/>
      <c r="F1" s="309"/>
      <c r="G1" s="309"/>
      <c r="H1" s="309"/>
      <c r="I1" s="309"/>
      <c r="J1" s="310"/>
    </row>
    <row r="2" spans="1:10" ht="22.5" customHeight="1">
      <c r="A2" s="311" t="s">
        <v>337</v>
      </c>
      <c r="B2" s="312"/>
      <c r="C2" s="312"/>
      <c r="D2" s="313"/>
      <c r="E2" s="313"/>
      <c r="F2" s="313"/>
      <c r="G2" s="313"/>
      <c r="H2" s="313"/>
      <c r="I2" s="313"/>
      <c r="J2" s="314"/>
    </row>
    <row r="3" spans="1:10" ht="21.75" customHeight="1">
      <c r="A3" s="315" t="s">
        <v>330</v>
      </c>
      <c r="B3" s="313"/>
      <c r="C3" s="313"/>
      <c r="D3" s="313"/>
      <c r="E3" s="313"/>
      <c r="F3" s="313"/>
      <c r="G3" s="313"/>
      <c r="H3" s="313"/>
      <c r="I3" s="313"/>
      <c r="J3" s="314"/>
    </row>
    <row r="4" spans="1:10" ht="21.75" customHeight="1">
      <c r="A4" s="315" t="s">
        <v>296</v>
      </c>
      <c r="B4" s="313"/>
      <c r="C4" s="313"/>
      <c r="D4" s="313"/>
      <c r="E4" s="313"/>
      <c r="F4" s="313"/>
      <c r="G4" s="313"/>
      <c r="H4" s="316"/>
      <c r="I4" s="317" t="s">
        <v>338</v>
      </c>
      <c r="J4" s="314"/>
    </row>
    <row r="5" spans="1:10" ht="44.25" customHeight="1">
      <c r="A5" s="229" t="s">
        <v>221</v>
      </c>
      <c r="B5" s="230" t="s">
        <v>297</v>
      </c>
      <c r="C5" s="230" t="s">
        <v>298</v>
      </c>
      <c r="D5" s="230" t="s">
        <v>299</v>
      </c>
      <c r="E5" s="230" t="s">
        <v>300</v>
      </c>
      <c r="F5" s="231" t="s">
        <v>301</v>
      </c>
      <c r="G5" s="231" t="s">
        <v>302</v>
      </c>
      <c r="H5" s="231" t="s">
        <v>303</v>
      </c>
      <c r="I5" s="231" t="s">
        <v>304</v>
      </c>
      <c r="J5" s="232" t="s">
        <v>305</v>
      </c>
    </row>
    <row r="6" spans="1:10" ht="24.75" customHeight="1">
      <c r="A6" s="233" t="s">
        <v>306</v>
      </c>
      <c r="B6" s="234"/>
      <c r="C6" s="234"/>
      <c r="D6" s="235" t="s">
        <v>316</v>
      </c>
      <c r="E6" s="236"/>
      <c r="F6" s="236"/>
      <c r="G6" s="237"/>
      <c r="H6" s="238"/>
      <c r="I6" s="239">
        <f>ROUND(SUM(I7:I9),2)</f>
        <v>258592.2</v>
      </c>
      <c r="J6" s="240">
        <f>ROUND(SUM(J7:J9),2)</f>
        <v>321249.08</v>
      </c>
    </row>
    <row r="7" spans="1:10" s="213" customFormat="1" ht="34.5" customHeight="1">
      <c r="A7" s="241" t="s">
        <v>180</v>
      </c>
      <c r="B7" s="190">
        <v>90106</v>
      </c>
      <c r="C7" s="190" t="s">
        <v>318</v>
      </c>
      <c r="D7" s="242" t="s">
        <v>317</v>
      </c>
      <c r="E7" s="190" t="s">
        <v>77</v>
      </c>
      <c r="F7" s="249">
        <f>ROUND(21483*0.7*0.3,2)</f>
        <v>4511.43</v>
      </c>
      <c r="G7" s="244">
        <v>5.0199999999999996</v>
      </c>
      <c r="H7" s="244">
        <f>G7*1.2423</f>
        <v>6.2363459999999993</v>
      </c>
      <c r="I7" s="244">
        <f>ROUND(F7*G7,2)</f>
        <v>22647.38</v>
      </c>
      <c r="J7" s="244">
        <f>ROUND(F7*H7,2)</f>
        <v>28134.84</v>
      </c>
    </row>
    <row r="8" spans="1:10" s="213" customFormat="1" ht="45">
      <c r="A8" s="241" t="s">
        <v>181</v>
      </c>
      <c r="B8" s="190" t="s">
        <v>319</v>
      </c>
      <c r="C8" s="190" t="s">
        <v>318</v>
      </c>
      <c r="D8" s="242" t="s">
        <v>334</v>
      </c>
      <c r="E8" s="190" t="s">
        <v>77</v>
      </c>
      <c r="F8" s="249">
        <f>ROUND((F7*1.4)+((21483*0.7*0.07)),2)</f>
        <v>7368.67</v>
      </c>
      <c r="G8" s="244">
        <v>1.62</v>
      </c>
      <c r="H8" s="244">
        <f>G8*1.2423</f>
        <v>2.0125260000000003</v>
      </c>
      <c r="I8" s="244">
        <f t="shared" ref="I8:I19" si="0">ROUND(F8*G8,2)</f>
        <v>11937.25</v>
      </c>
      <c r="J8" s="244">
        <f t="shared" ref="J8:J19" si="1">ROUND(F8*H8,2)</f>
        <v>14829.64</v>
      </c>
    </row>
    <row r="9" spans="1:10" s="213" customFormat="1" ht="45">
      <c r="A9" s="241" t="s">
        <v>307</v>
      </c>
      <c r="B9" s="190">
        <v>97914</v>
      </c>
      <c r="C9" s="190" t="s">
        <v>318</v>
      </c>
      <c r="D9" s="242" t="s">
        <v>333</v>
      </c>
      <c r="E9" s="190" t="s">
        <v>323</v>
      </c>
      <c r="F9" s="249">
        <f>ROUND(F8*20,2)</f>
        <v>147373.4</v>
      </c>
      <c r="G9" s="244">
        <v>1.52</v>
      </c>
      <c r="H9" s="244">
        <f>G9*1.2423</f>
        <v>1.888296</v>
      </c>
      <c r="I9" s="244">
        <f t="shared" si="0"/>
        <v>224007.57</v>
      </c>
      <c r="J9" s="244">
        <f t="shared" si="1"/>
        <v>278284.59999999998</v>
      </c>
    </row>
    <row r="10" spans="1:10" s="213" customFormat="1" ht="34.5" customHeight="1">
      <c r="A10" s="233" t="s">
        <v>308</v>
      </c>
      <c r="B10" s="234"/>
      <c r="C10" s="234"/>
      <c r="D10" s="235" t="s">
        <v>147</v>
      </c>
      <c r="E10" s="236"/>
      <c r="F10" s="245"/>
      <c r="G10" s="245"/>
      <c r="H10" s="246"/>
      <c r="I10" s="239">
        <f>ROUND(SUM(I11:I19),2)</f>
        <v>2773248.79</v>
      </c>
      <c r="J10" s="240">
        <f>ROUND(SUM(J11:J19),2)</f>
        <v>3445206.96</v>
      </c>
    </row>
    <row r="11" spans="1:10" s="213" customFormat="1" ht="34.5" customHeight="1">
      <c r="A11" s="241" t="s">
        <v>197</v>
      </c>
      <c r="B11" s="190" t="s">
        <v>331</v>
      </c>
      <c r="C11" s="190" t="s">
        <v>329</v>
      </c>
      <c r="D11" s="242" t="s">
        <v>332</v>
      </c>
      <c r="E11" s="190" t="s">
        <v>63</v>
      </c>
      <c r="F11" s="249">
        <f>ROUND(21483*0.7,2)</f>
        <v>15038.1</v>
      </c>
      <c r="G11" s="244">
        <v>8.3000000000000007</v>
      </c>
      <c r="H11" s="244">
        <f>G11*1.2423</f>
        <v>10.31109</v>
      </c>
      <c r="I11" s="244">
        <f t="shared" ref="I11" si="2">ROUND(F11*G11,2)</f>
        <v>124816.23</v>
      </c>
      <c r="J11" s="244">
        <f t="shared" ref="J11" si="3">ROUND(F11*H11,2)</f>
        <v>155059.20000000001</v>
      </c>
    </row>
    <row r="12" spans="1:10" s="213" customFormat="1" ht="34.5" customHeight="1">
      <c r="A12" s="241" t="s">
        <v>198</v>
      </c>
      <c r="B12" s="190">
        <v>72961</v>
      </c>
      <c r="C12" s="190" t="s">
        <v>318</v>
      </c>
      <c r="D12" s="242" t="s">
        <v>320</v>
      </c>
      <c r="E12" s="190" t="s">
        <v>63</v>
      </c>
      <c r="F12" s="249">
        <f>ROUND(21483*0.3,2)</f>
        <v>6444.9</v>
      </c>
      <c r="G12" s="243">
        <v>1.21</v>
      </c>
      <c r="H12" s="244">
        <f>G12*1.2423</f>
        <v>1.5031829999999999</v>
      </c>
      <c r="I12" s="244">
        <f t="shared" si="0"/>
        <v>7798.33</v>
      </c>
      <c r="J12" s="244">
        <f t="shared" si="1"/>
        <v>9687.86</v>
      </c>
    </row>
    <row r="13" spans="1:10" s="213" customFormat="1" ht="45">
      <c r="A13" s="241" t="s">
        <v>201</v>
      </c>
      <c r="B13" s="190">
        <v>96399</v>
      </c>
      <c r="C13" s="190" t="s">
        <v>318</v>
      </c>
      <c r="D13" s="242" t="s">
        <v>321</v>
      </c>
      <c r="E13" s="190" t="s">
        <v>77</v>
      </c>
      <c r="F13" s="249">
        <f>ROUND(F12*0.3*1.5,2)</f>
        <v>2900.21</v>
      </c>
      <c r="G13" s="243">
        <v>83.82</v>
      </c>
      <c r="H13" s="244">
        <f>G13*1.2423</f>
        <v>104.12958599999999</v>
      </c>
      <c r="I13" s="244">
        <f t="shared" si="0"/>
        <v>243095.6</v>
      </c>
      <c r="J13" s="244">
        <f t="shared" si="1"/>
        <v>301997.67</v>
      </c>
    </row>
    <row r="14" spans="1:10" s="213" customFormat="1" ht="45">
      <c r="A14" s="241" t="s">
        <v>202</v>
      </c>
      <c r="B14" s="190">
        <v>96396</v>
      </c>
      <c r="C14" s="190" t="s">
        <v>318</v>
      </c>
      <c r="D14" s="242" t="s">
        <v>322</v>
      </c>
      <c r="E14" s="190" t="s">
        <v>77</v>
      </c>
      <c r="F14" s="249">
        <f>ROUND(F12*0.3*1.5,2)</f>
        <v>2900.21</v>
      </c>
      <c r="G14" s="244">
        <v>102.15</v>
      </c>
      <c r="H14" s="244">
        <f t="shared" ref="H14:H19" si="4">G14*1.2423</f>
        <v>126.90094500000001</v>
      </c>
      <c r="I14" s="244">
        <f t="shared" si="0"/>
        <v>296256.45</v>
      </c>
      <c r="J14" s="244">
        <f t="shared" si="1"/>
        <v>368039.39</v>
      </c>
    </row>
    <row r="15" spans="1:10" s="213" customFormat="1" ht="45">
      <c r="A15" s="241" t="s">
        <v>207</v>
      </c>
      <c r="B15" s="190">
        <v>95875</v>
      </c>
      <c r="C15" s="190" t="s">
        <v>318</v>
      </c>
      <c r="D15" s="242" t="s">
        <v>335</v>
      </c>
      <c r="E15" s="190" t="s">
        <v>323</v>
      </c>
      <c r="F15" s="249">
        <f>ROUND((F14+F13)*20,2)</f>
        <v>116008.4</v>
      </c>
      <c r="G15" s="243">
        <v>1.0900000000000001</v>
      </c>
      <c r="H15" s="244">
        <f t="shared" si="4"/>
        <v>1.3541069999999999</v>
      </c>
      <c r="I15" s="244">
        <f t="shared" si="0"/>
        <v>126449.16</v>
      </c>
      <c r="J15" s="244">
        <f t="shared" si="1"/>
        <v>157087.79</v>
      </c>
    </row>
    <row r="16" spans="1:10" s="213" customFormat="1" ht="34.5" customHeight="1">
      <c r="A16" s="241" t="s">
        <v>205</v>
      </c>
      <c r="B16" s="190">
        <v>96401</v>
      </c>
      <c r="C16" s="190" t="s">
        <v>318</v>
      </c>
      <c r="D16" s="242" t="s">
        <v>324</v>
      </c>
      <c r="E16" s="190" t="s">
        <v>63</v>
      </c>
      <c r="F16" s="249">
        <f>ROUND(F12,2)</f>
        <v>6444.9</v>
      </c>
      <c r="G16" s="243">
        <v>4.5</v>
      </c>
      <c r="H16" s="244">
        <f t="shared" si="4"/>
        <v>5.5903499999999999</v>
      </c>
      <c r="I16" s="244">
        <f t="shared" si="0"/>
        <v>29002.05</v>
      </c>
      <c r="J16" s="244">
        <f t="shared" si="1"/>
        <v>36029.25</v>
      </c>
    </row>
    <row r="17" spans="1:10" s="213" customFormat="1" ht="34.5" customHeight="1">
      <c r="A17" s="241" t="s">
        <v>206</v>
      </c>
      <c r="B17" s="190">
        <v>96402</v>
      </c>
      <c r="C17" s="190" t="s">
        <v>318</v>
      </c>
      <c r="D17" s="242" t="s">
        <v>325</v>
      </c>
      <c r="E17" s="190" t="s">
        <v>63</v>
      </c>
      <c r="F17" s="249">
        <f>ROUND(21483*2,2)</f>
        <v>42966</v>
      </c>
      <c r="G17" s="244">
        <v>2.5299999999999998</v>
      </c>
      <c r="H17" s="244">
        <f t="shared" si="4"/>
        <v>3.1430189999999998</v>
      </c>
      <c r="I17" s="244">
        <f t="shared" si="0"/>
        <v>108703.98</v>
      </c>
      <c r="J17" s="244">
        <f t="shared" si="1"/>
        <v>135042.95000000001</v>
      </c>
    </row>
    <row r="18" spans="1:10" s="213" customFormat="1" ht="60">
      <c r="A18" s="241" t="s">
        <v>209</v>
      </c>
      <c r="B18" s="190" t="s">
        <v>328</v>
      </c>
      <c r="C18" s="190" t="s">
        <v>329</v>
      </c>
      <c r="D18" s="242" t="s">
        <v>327</v>
      </c>
      <c r="E18" s="190" t="s">
        <v>231</v>
      </c>
      <c r="F18" s="249">
        <f>ROUND(21483*0.14*2.4,2)</f>
        <v>7218.29</v>
      </c>
      <c r="G18" s="243">
        <v>244.31</v>
      </c>
      <c r="H18" s="244">
        <f t="shared" si="4"/>
        <v>303.50631299999998</v>
      </c>
      <c r="I18" s="244">
        <f t="shared" si="0"/>
        <v>1763500.43</v>
      </c>
      <c r="J18" s="244">
        <f t="shared" si="1"/>
        <v>2190796.58</v>
      </c>
    </row>
    <row r="19" spans="1:10" s="213" customFormat="1" ht="45">
      <c r="A19" s="241" t="s">
        <v>210</v>
      </c>
      <c r="B19" s="190">
        <v>93596</v>
      </c>
      <c r="C19" s="190" t="s">
        <v>318</v>
      </c>
      <c r="D19" s="242" t="s">
        <v>336</v>
      </c>
      <c r="E19" s="190" t="s">
        <v>326</v>
      </c>
      <c r="F19" s="249">
        <f>ROUND(F18*20,2)</f>
        <v>144365.79999999999</v>
      </c>
      <c r="G19" s="243">
        <v>0.51</v>
      </c>
      <c r="H19" s="244">
        <f t="shared" si="4"/>
        <v>0.63357299999999994</v>
      </c>
      <c r="I19" s="244">
        <f t="shared" si="0"/>
        <v>73626.559999999998</v>
      </c>
      <c r="J19" s="244">
        <f t="shared" si="1"/>
        <v>91466.27</v>
      </c>
    </row>
    <row r="20" spans="1:10" s="213" customFormat="1" ht="34.5" customHeight="1">
      <c r="A20" s="233"/>
      <c r="B20" s="234"/>
      <c r="C20" s="234"/>
      <c r="D20" s="235"/>
      <c r="E20" s="236"/>
      <c r="F20" s="245"/>
      <c r="G20" s="245"/>
      <c r="H20" s="246"/>
      <c r="I20" s="247"/>
      <c r="J20" s="248"/>
    </row>
    <row r="21" spans="1:10" ht="32.25" customHeight="1" thickBot="1">
      <c r="A21" s="318" t="s">
        <v>309</v>
      </c>
      <c r="B21" s="319"/>
      <c r="C21" s="319"/>
      <c r="D21" s="319"/>
      <c r="E21" s="319"/>
      <c r="F21" s="320"/>
      <c r="G21" s="321" t="s">
        <v>310</v>
      </c>
      <c r="H21" s="322"/>
      <c r="I21" s="250">
        <f>I6+I10</f>
        <v>3031840.99</v>
      </c>
      <c r="J21" s="250">
        <f>J6+J10</f>
        <v>3766456.04</v>
      </c>
    </row>
    <row r="22" spans="1:10" ht="38.25" customHeight="1" thickBot="1">
      <c r="A22" s="251"/>
      <c r="B22" s="252"/>
      <c r="C22" s="253"/>
      <c r="D22" s="253"/>
      <c r="E22" s="254"/>
      <c r="F22" s="253"/>
      <c r="G22" s="255"/>
      <c r="H22" s="255"/>
      <c r="I22" s="256"/>
      <c r="J22" s="257"/>
    </row>
    <row r="23" spans="1:10" ht="21.75" customHeight="1">
      <c r="A23" s="323" t="s">
        <v>311</v>
      </c>
      <c r="B23" s="324"/>
      <c r="C23" s="324"/>
      <c r="D23" s="324"/>
      <c r="E23" s="324" t="s">
        <v>312</v>
      </c>
      <c r="F23" s="324"/>
      <c r="G23" s="324"/>
      <c r="H23" s="324"/>
      <c r="I23" s="324"/>
      <c r="J23" s="325"/>
    </row>
    <row r="24" spans="1:10" ht="25.5" customHeight="1">
      <c r="A24" s="326" t="s">
        <v>313</v>
      </c>
      <c r="B24" s="327"/>
      <c r="C24" s="327"/>
      <c r="D24" s="327"/>
      <c r="E24" s="327" t="s">
        <v>314</v>
      </c>
      <c r="F24" s="327"/>
      <c r="G24" s="327"/>
      <c r="H24" s="327"/>
      <c r="I24" s="327"/>
      <c r="J24" s="328"/>
    </row>
    <row r="25" spans="1:10" ht="12" customHeight="1" thickBot="1">
      <c r="A25" s="258"/>
      <c r="B25" s="259"/>
      <c r="C25" s="259"/>
      <c r="D25" s="259"/>
      <c r="E25" s="329" t="s">
        <v>315</v>
      </c>
      <c r="F25" s="329"/>
      <c r="G25" s="329"/>
      <c r="H25" s="329"/>
      <c r="I25" s="329"/>
      <c r="J25" s="330"/>
    </row>
    <row r="26" spans="1:10">
      <c r="A26" s="299"/>
      <c r="B26" s="300"/>
      <c r="C26" s="300"/>
      <c r="D26" s="300"/>
      <c r="E26" s="300"/>
      <c r="F26" s="300"/>
      <c r="G26" s="300"/>
      <c r="H26" s="300"/>
      <c r="I26" s="300"/>
      <c r="J26" s="301"/>
    </row>
    <row r="27" spans="1:10">
      <c r="A27" s="302"/>
      <c r="B27" s="303"/>
      <c r="C27" s="303"/>
      <c r="D27" s="303"/>
      <c r="E27" s="303"/>
      <c r="F27" s="303"/>
      <c r="G27" s="303"/>
      <c r="H27" s="303"/>
      <c r="I27" s="303"/>
      <c r="J27" s="304"/>
    </row>
    <row r="28" spans="1:10">
      <c r="A28" s="302"/>
      <c r="B28" s="303"/>
      <c r="C28" s="303"/>
      <c r="D28" s="303"/>
      <c r="E28" s="303"/>
      <c r="F28" s="303"/>
      <c r="G28" s="303"/>
      <c r="H28" s="303"/>
      <c r="I28" s="303"/>
      <c r="J28" s="304"/>
    </row>
    <row r="29" spans="1:10">
      <c r="A29" s="302"/>
      <c r="B29" s="303"/>
      <c r="C29" s="303"/>
      <c r="D29" s="303"/>
      <c r="E29" s="303"/>
      <c r="F29" s="303"/>
      <c r="G29" s="303"/>
      <c r="H29" s="303"/>
      <c r="I29" s="303"/>
      <c r="J29" s="304"/>
    </row>
    <row r="30" spans="1:10">
      <c r="A30" s="302"/>
      <c r="B30" s="303"/>
      <c r="C30" s="303"/>
      <c r="D30" s="303"/>
      <c r="E30" s="303"/>
      <c r="F30" s="303"/>
      <c r="G30" s="303"/>
      <c r="H30" s="303"/>
      <c r="I30" s="303"/>
      <c r="J30" s="304"/>
    </row>
    <row r="31" spans="1:10">
      <c r="A31" s="302"/>
      <c r="B31" s="303"/>
      <c r="C31" s="303"/>
      <c r="D31" s="303"/>
      <c r="E31" s="303"/>
      <c r="F31" s="303"/>
      <c r="G31" s="303"/>
      <c r="H31" s="303"/>
      <c r="I31" s="303"/>
      <c r="J31" s="304"/>
    </row>
    <row r="32" spans="1:10" ht="1.5" customHeight="1" thickBot="1">
      <c r="A32" s="305"/>
      <c r="B32" s="306"/>
      <c r="C32" s="306"/>
      <c r="D32" s="306"/>
      <c r="E32" s="306"/>
      <c r="F32" s="306"/>
      <c r="G32" s="306"/>
      <c r="H32" s="306"/>
      <c r="I32" s="306"/>
      <c r="J32" s="307"/>
    </row>
  </sheetData>
  <mergeCells count="13">
    <mergeCell ref="A26:J32"/>
    <mergeCell ref="A1:J1"/>
    <mergeCell ref="A2:J2"/>
    <mergeCell ref="A3:J3"/>
    <mergeCell ref="A4:H4"/>
    <mergeCell ref="I4:J4"/>
    <mergeCell ref="A21:F21"/>
    <mergeCell ref="G21:H21"/>
    <mergeCell ref="A23:D23"/>
    <mergeCell ref="E23:J23"/>
    <mergeCell ref="A24:D24"/>
    <mergeCell ref="E24:J24"/>
    <mergeCell ref="E25:J25"/>
  </mergeCells>
  <printOptions horizontalCentered="1"/>
  <pageMargins left="0.51181102362204722" right="0.26" top="0.78740157480314965" bottom="0.78740157480314965" header="0.31496062992125984" footer="0.31496062992125984"/>
  <pageSetup paperSize="9" scale="8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C30"/>
  <sheetViews>
    <sheetView workbookViewId="0">
      <selection activeCell="C19" sqref="C19:C24"/>
    </sheetView>
  </sheetViews>
  <sheetFormatPr defaultRowHeight="15"/>
  <cols>
    <col min="1" max="1" width="13.28515625" style="216" customWidth="1"/>
    <col min="2" max="2" width="42.7109375" customWidth="1"/>
    <col min="3" max="3" width="11.42578125" style="217" customWidth="1"/>
  </cols>
  <sheetData>
    <row r="1" spans="1:3">
      <c r="A1" s="296" t="s">
        <v>292</v>
      </c>
      <c r="B1" s="296"/>
      <c r="C1" s="296"/>
    </row>
    <row r="2" spans="1:3">
      <c r="A2" s="296" t="s">
        <v>293</v>
      </c>
      <c r="B2" s="296"/>
      <c r="C2" s="296"/>
    </row>
    <row r="3" spans="1:3">
      <c r="B3" s="216"/>
      <c r="C3" s="216"/>
    </row>
    <row r="5" spans="1:3">
      <c r="A5" s="220"/>
      <c r="B5" s="108" t="s">
        <v>291</v>
      </c>
      <c r="C5" s="221"/>
    </row>
    <row r="6" spans="1:3">
      <c r="A6" s="331" t="s">
        <v>289</v>
      </c>
      <c r="B6" s="332"/>
      <c r="C6" s="221" t="s">
        <v>290</v>
      </c>
    </row>
    <row r="7" spans="1:3">
      <c r="A7" s="5">
        <v>1</v>
      </c>
      <c r="B7" s="4" t="s">
        <v>275</v>
      </c>
      <c r="C7" s="222">
        <v>3.2000000000000002E-3</v>
      </c>
    </row>
    <row r="8" spans="1:3">
      <c r="A8" s="5">
        <v>2</v>
      </c>
      <c r="B8" s="4" t="s">
        <v>52</v>
      </c>
      <c r="C8" s="222">
        <v>5.0000000000000001E-3</v>
      </c>
    </row>
    <row r="9" spans="1:3">
      <c r="A9" s="5">
        <v>3</v>
      </c>
      <c r="B9" s="4" t="s">
        <v>276</v>
      </c>
      <c r="C9" s="222">
        <v>3.7999999999999999E-2</v>
      </c>
    </row>
    <row r="10" spans="1:3">
      <c r="A10" s="331" t="s">
        <v>277</v>
      </c>
      <c r="B10" s="332"/>
      <c r="C10" s="223">
        <f>1+(C7+C8+C9)</f>
        <v>1.0462</v>
      </c>
    </row>
    <row r="11" spans="1:3">
      <c r="A11" s="219"/>
      <c r="B11" s="50"/>
      <c r="C11" s="218"/>
    </row>
    <row r="12" spans="1:3">
      <c r="A12" s="5">
        <v>4</v>
      </c>
      <c r="B12" s="4" t="s">
        <v>269</v>
      </c>
      <c r="C12" s="222">
        <v>1.0200000000000001E-2</v>
      </c>
    </row>
    <row r="13" spans="1:3">
      <c r="A13" s="331" t="s">
        <v>278</v>
      </c>
      <c r="B13" s="332"/>
      <c r="C13" s="223">
        <f>1+C12</f>
        <v>1.0102</v>
      </c>
    </row>
    <row r="14" spans="1:3">
      <c r="A14" s="219"/>
      <c r="B14" s="50"/>
      <c r="C14" s="218"/>
    </row>
    <row r="15" spans="1:3">
      <c r="A15" s="5">
        <v>5</v>
      </c>
      <c r="B15" s="4" t="s">
        <v>55</v>
      </c>
      <c r="C15" s="222">
        <v>4.4400000000000002E-2</v>
      </c>
    </row>
    <row r="16" spans="1:3">
      <c r="A16" s="331" t="s">
        <v>279</v>
      </c>
      <c r="B16" s="332"/>
      <c r="C16" s="223">
        <f>1+C15</f>
        <v>1.0444</v>
      </c>
    </row>
    <row r="17" spans="1:3">
      <c r="A17" s="219"/>
      <c r="B17" s="50"/>
      <c r="C17" s="218"/>
    </row>
    <row r="18" spans="1:3">
      <c r="A18" s="335" t="s">
        <v>280</v>
      </c>
      <c r="B18" s="336"/>
      <c r="C18" s="218"/>
    </row>
    <row r="19" spans="1:3">
      <c r="A19" s="5">
        <v>6</v>
      </c>
      <c r="B19" s="4" t="s">
        <v>281</v>
      </c>
      <c r="C19" s="222">
        <v>0.03</v>
      </c>
    </row>
    <row r="20" spans="1:3">
      <c r="A20" s="5">
        <v>7</v>
      </c>
      <c r="B20" s="4" t="s">
        <v>282</v>
      </c>
      <c r="C20" s="222">
        <v>6.4999999999999997E-3</v>
      </c>
    </row>
    <row r="21" spans="1:3">
      <c r="A21" s="5">
        <v>8</v>
      </c>
      <c r="B21" s="4" t="s">
        <v>283</v>
      </c>
      <c r="C21" s="224"/>
    </row>
    <row r="22" spans="1:3">
      <c r="A22" s="5">
        <v>9</v>
      </c>
      <c r="B22" s="4" t="s">
        <v>284</v>
      </c>
      <c r="C22" s="224"/>
    </row>
    <row r="23" spans="1:3">
      <c r="A23" s="5"/>
      <c r="B23" s="4" t="s">
        <v>288</v>
      </c>
      <c r="C23" s="222">
        <v>4.4999999999999998E-2</v>
      </c>
    </row>
    <row r="24" spans="1:3">
      <c r="A24" s="331" t="s">
        <v>285</v>
      </c>
      <c r="B24" s="332"/>
      <c r="C24" s="218"/>
    </row>
    <row r="25" spans="1:3">
      <c r="A25" s="5">
        <v>10</v>
      </c>
      <c r="B25" s="4" t="s">
        <v>286</v>
      </c>
      <c r="C25" s="222">
        <v>0.03</v>
      </c>
    </row>
    <row r="26" spans="1:3">
      <c r="A26" s="337" t="s">
        <v>287</v>
      </c>
      <c r="B26" s="337"/>
      <c r="C26" s="223">
        <f>(C19+C20+C21+C22+C25+C23)</f>
        <v>0.1115</v>
      </c>
    </row>
    <row r="27" spans="1:3">
      <c r="A27" s="219"/>
      <c r="B27" s="50"/>
      <c r="C27" s="218"/>
    </row>
    <row r="28" spans="1:3">
      <c r="A28" s="333" t="s">
        <v>294</v>
      </c>
      <c r="B28" s="334"/>
      <c r="C28" s="225">
        <f>(((1+C7+C8+C9)*(1+C12)*(1+C15))/(1-(C19+C20+C23+C25))-1)</f>
        <v>0.24231437597748995</v>
      </c>
    </row>
    <row r="30" spans="1:3" ht="189" customHeight="1">
      <c r="A30" s="297" t="s">
        <v>295</v>
      </c>
      <c r="B30" s="298"/>
      <c r="C30" s="298"/>
    </row>
  </sheetData>
  <mergeCells count="11">
    <mergeCell ref="A6:B6"/>
    <mergeCell ref="A1:C1"/>
    <mergeCell ref="A2:C2"/>
    <mergeCell ref="A30:C30"/>
    <mergeCell ref="A28:B28"/>
    <mergeCell ref="A10:B10"/>
    <mergeCell ref="A13:B13"/>
    <mergeCell ref="A16:B16"/>
    <mergeCell ref="A18:B18"/>
    <mergeCell ref="A24:B24"/>
    <mergeCell ref="A26:B26"/>
  </mergeCells>
  <printOptions horizontalCentered="1"/>
  <pageMargins left="0.51181102362204722" right="0.51181102362204722" top="1.3779527559055118" bottom="0.78740157480314965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8</vt:i4>
      </vt:variant>
    </vt:vector>
  </HeadingPairs>
  <TitlesOfParts>
    <vt:vector size="18" baseType="lpstr">
      <vt:lpstr>TERRAPLENAGEM</vt:lpstr>
      <vt:lpstr>drenagem pluvial</vt:lpstr>
      <vt:lpstr>REDE ESGOTO</vt:lpstr>
      <vt:lpstr>AGUA POTAVEL</vt:lpstr>
      <vt:lpstr>Pavimentação </vt:lpstr>
      <vt:lpstr>Tapa Buraco</vt:lpstr>
      <vt:lpstr>Planilha Final</vt:lpstr>
      <vt:lpstr>Planilha Asfalto</vt:lpstr>
      <vt:lpstr>BDI</vt:lpstr>
      <vt:lpstr>PROPOSTA PADRÃO</vt:lpstr>
      <vt:lpstr>'AGUA POTAVEL'!Area_de_impressao</vt:lpstr>
      <vt:lpstr>BDI!Area_de_impressao</vt:lpstr>
      <vt:lpstr>'drenagem pluvial'!Area_de_impressao</vt:lpstr>
      <vt:lpstr>'Pavimentação '!Area_de_impressao</vt:lpstr>
      <vt:lpstr>'Planilha Final'!Area_de_impressao</vt:lpstr>
      <vt:lpstr>'REDE ESGOTO'!Area_de_impressao</vt:lpstr>
      <vt:lpstr>'Tapa Buraco'!Area_de_impressao</vt:lpstr>
      <vt:lpstr>TERRAPLENAGEM!Area_de_impressao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BritaVale.Fabio</dc:creator>
  <cp:lastModifiedBy>rubia.pereira</cp:lastModifiedBy>
  <cp:lastPrinted>2018-07-24T13:34:05Z</cp:lastPrinted>
  <dcterms:created xsi:type="dcterms:W3CDTF">2017-08-08T16:46:51Z</dcterms:created>
  <dcterms:modified xsi:type="dcterms:W3CDTF">2018-07-24T13:34:08Z</dcterms:modified>
</cp:coreProperties>
</file>